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120" yWindow="90" windowWidth="9420" windowHeight="4965" tabRatio="931" firstSheet="2" activeTab="12"/>
  </bookViews>
  <sheets>
    <sheet name="МОБАЛ_В.Т" sheetId="1" r:id="rId1"/>
    <sheet name="МОБАЛ_Община" sheetId="2" r:id="rId2"/>
    <sheet name="МБАЛ_Г.Ор" sheetId="3" r:id="rId3"/>
    <sheet name="МБАЛ_Павликени" sheetId="4" r:id="rId4"/>
    <sheet name="МБАЛ_Свищов" sheetId="5" r:id="rId5"/>
    <sheet name="Област2016" sheetId="6" r:id="rId6"/>
    <sheet name="СбАЛК" sheetId="7" r:id="rId7"/>
    <sheet name="ДПб" sheetId="8" r:id="rId8"/>
    <sheet name="ЦПЗ" sheetId="9" r:id="rId9"/>
    <sheet name="ЦКВЗ" sheetId="10" r:id="rId10"/>
    <sheet name="СбАЛПФЗ" sheetId="11" r:id="rId11"/>
    <sheet name="КОЦ" sheetId="12" r:id="rId12"/>
    <sheet name="Област 2016 всички" sheetId="13" r:id="rId13"/>
  </sheets>
  <definedNames>
    <definedName name="_xlnm.Print_Area" localSheetId="0">'МОБАЛ_В.Т'!$A$1:$K$59</definedName>
    <definedName name="_xlnm.Print_Titles" localSheetId="7">'ДПб'!$3:$4</definedName>
    <definedName name="_xlnm.Print_Titles" localSheetId="11">'КОЦ'!$3:$4</definedName>
    <definedName name="_xlnm.Print_Titles" localSheetId="2">'МБАЛ_Г.Ор'!$3:$4</definedName>
    <definedName name="_xlnm.Print_Titles" localSheetId="3">'МБАЛ_Павликени'!$3:$4</definedName>
    <definedName name="_xlnm.Print_Titles" localSheetId="4">'МБАЛ_Свищов'!$3:$4</definedName>
    <definedName name="_xlnm.Print_Titles" localSheetId="0">'МОБАЛ_В.Т'!$3:$4</definedName>
    <definedName name="_xlnm.Print_Titles" localSheetId="1">'МОБАЛ_Община'!$3:$4</definedName>
    <definedName name="_xlnm.Print_Titles" localSheetId="12">'Област 2016 всички'!$3:$4</definedName>
    <definedName name="_xlnm.Print_Titles" localSheetId="5">'Област2016'!$3:$4</definedName>
    <definedName name="_xlnm.Print_Titles" localSheetId="6">'СбАЛК'!$3:$4</definedName>
    <definedName name="_xlnm.Print_Titles" localSheetId="10">'СбАЛПФЗ'!$3:$4</definedName>
    <definedName name="_xlnm.Print_Titles" localSheetId="9">'ЦКВЗ'!$3:$4</definedName>
    <definedName name="_xlnm.Print_Titles" localSheetId="8">'ЦПЗ'!$3:$4</definedName>
  </definedNames>
  <calcPr fullCalcOnLoad="1"/>
</workbook>
</file>

<file path=xl/sharedStrings.xml><?xml version="1.0" encoding="utf-8"?>
<sst xmlns="http://schemas.openxmlformats.org/spreadsheetml/2006/main" count="1149" uniqueCount="100">
  <si>
    <t>Клас</t>
  </si>
  <si>
    <t>0 - 17 години</t>
  </si>
  <si>
    <t>над 18 години</t>
  </si>
  <si>
    <t>общо</t>
  </si>
  <si>
    <t>по МКБ</t>
  </si>
  <si>
    <t>Класове болести</t>
  </si>
  <si>
    <t>Брой</t>
  </si>
  <si>
    <t>На 1000 д. население</t>
  </si>
  <si>
    <t>Отн. дял %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</si>
  <si>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</si>
  <si>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</si>
  <si>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</si>
  <si>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</si>
  <si>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</si>
  <si>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</si>
  <si>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</si>
  <si>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</si>
  <si>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</si>
  <si>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XI.</t>
  </si>
  <si>
    <t>XIV.</t>
  </si>
  <si>
    <t>XV.</t>
  </si>
  <si>
    <t>XVI.</t>
  </si>
  <si>
    <t>ОБЩО</t>
  </si>
  <si>
    <t>Забележка: Показателите са изчислени с населението на цялата област.</t>
  </si>
  <si>
    <t>Клас по МКБ</t>
  </si>
  <si>
    <t xml:space="preserve">  Отоци, протеинурия и хипертонични усложнения</t>
  </si>
  <si>
    <t xml:space="preserve"> Някои инфекциозни и паразитни болести </t>
  </si>
  <si>
    <t xml:space="preserve"> Болести на окото и придатъците му</t>
  </si>
  <si>
    <t>Х.</t>
  </si>
  <si>
    <t>XVIII.</t>
  </si>
  <si>
    <t>XIX.</t>
  </si>
  <si>
    <t xml:space="preserve">  от тях: Тубулоинтестициални болести на бъбреците</t>
  </si>
  <si>
    <t xml:space="preserve"> Бременност, раждане и послеродов период</t>
  </si>
  <si>
    <t xml:space="preserve">      Отравяния и токсични въздействия</t>
  </si>
  <si>
    <t xml:space="preserve">       от тях:  Спонтанен аборт</t>
  </si>
  <si>
    <t xml:space="preserve">  Нормално  (спонтанно)  раждане</t>
  </si>
  <si>
    <t xml:space="preserve">  в т.ч. Чревни инфекции</t>
  </si>
  <si>
    <t xml:space="preserve">              Туберкулоза</t>
  </si>
  <si>
    <t xml:space="preserve"> Новообразувания</t>
  </si>
  <si>
    <t xml:space="preserve">  в т.ч. Злокачествени новообразувания</t>
  </si>
  <si>
    <t xml:space="preserve"> Болести на кръвта и кръвотворните органи</t>
  </si>
  <si>
    <t xml:space="preserve"> Болести на ендокринната система, разстройства на  храненето и на обмяната на веществата</t>
  </si>
  <si>
    <t xml:space="preserve"> Психични и поведенчески разстройства</t>
  </si>
  <si>
    <t xml:space="preserve"> Болести на нервната система </t>
  </si>
  <si>
    <t xml:space="preserve">  в т.ч. Епилепсия, епилептичен статус</t>
  </si>
  <si>
    <t xml:space="preserve"> Болести на ухото и мастоидния израстък</t>
  </si>
  <si>
    <t xml:space="preserve"> Болести на органите на кръвообращението</t>
  </si>
  <si>
    <t xml:space="preserve">  в т.ч. Хипертонични болести</t>
  </si>
  <si>
    <t xml:space="preserve">             Исхемична болест на сърцето</t>
  </si>
  <si>
    <t xml:space="preserve">             Мозъчносъдови болести</t>
  </si>
  <si>
    <t xml:space="preserve"> Болести на дихателната система</t>
  </si>
  <si>
    <t xml:space="preserve">  в т.ч. Остри инфекции на горните дих. пътища</t>
  </si>
  <si>
    <t xml:space="preserve">             Пневмонии  (вирусни и бактериални)</t>
  </si>
  <si>
    <t xml:space="preserve"> Болести на храносмилателната система</t>
  </si>
  <si>
    <t xml:space="preserve">  в т.ч. Язва на стомаха и дванадесетопръстника</t>
  </si>
  <si>
    <t xml:space="preserve">             Апендицит</t>
  </si>
  <si>
    <t xml:space="preserve">             Хернии</t>
  </si>
  <si>
    <t xml:space="preserve">            Холелитиаза и холецистит</t>
  </si>
  <si>
    <t xml:space="preserve"> Болести на пикочо-половата система</t>
  </si>
  <si>
    <t xml:space="preserve">  в т.ч. Болести на пикочната система</t>
  </si>
  <si>
    <t xml:space="preserve">   в т.ч.   Аборт</t>
  </si>
  <si>
    <t xml:space="preserve"> Болести на кожата и подкожната тъкан</t>
  </si>
  <si>
    <t xml:space="preserve"> Болести на костно-мускулната система и на съединителната тъкан</t>
  </si>
  <si>
    <t xml:space="preserve"> Вродени аномалии  (пороци на развитието)</t>
  </si>
  <si>
    <t xml:space="preserve"> Някои състояния, възникващи през перинаталния период</t>
  </si>
  <si>
    <t xml:space="preserve"> Симптоми, признаци и отклонения от нормата</t>
  </si>
  <si>
    <t xml:space="preserve"> Травми и отравяния</t>
  </si>
  <si>
    <t xml:space="preserve">  в т.ч.  Травми на главата и шията</t>
  </si>
  <si>
    <t xml:space="preserve">              Травми на гр. кош, корема и таза</t>
  </si>
  <si>
    <t xml:space="preserve">             Травми на раменен пояс и горен крайник</t>
  </si>
  <si>
    <t xml:space="preserve">            Травми на тазобедр.става и долен крайник</t>
  </si>
  <si>
    <t xml:space="preserve">                           от тях:    счупвания</t>
  </si>
  <si>
    <t xml:space="preserve">                           от тях: счупвания</t>
  </si>
  <si>
    <t xml:space="preserve">                           от тях счупвания</t>
  </si>
  <si>
    <t xml:space="preserve">                          от тях: счупвания</t>
  </si>
  <si>
    <t>XIІ.</t>
  </si>
  <si>
    <t>XІІІ.</t>
  </si>
  <si>
    <t>XVIІ.</t>
  </si>
  <si>
    <t xml:space="preserve">    в т.ч. Захарен диабет</t>
  </si>
  <si>
    <t xml:space="preserve">             Родова   травма</t>
  </si>
  <si>
    <t xml:space="preserve">            Родова  травма</t>
  </si>
  <si>
    <t xml:space="preserve"> в т.ч.  Забавен фетален растеж, хипотр. и разстр., свърз. със скъсяване срока на брем. и ниско тегло при раждане</t>
  </si>
  <si>
    <t>МОБАЛ   В. ТЪРНОВО</t>
  </si>
  <si>
    <t>Забележка: Показателите са изчислени с населението на община В.Търново.</t>
  </si>
  <si>
    <t xml:space="preserve">                  Хронична бъбречна недостатъчност</t>
  </si>
  <si>
    <t xml:space="preserve">             ХОББ -J44</t>
  </si>
  <si>
    <t xml:space="preserve">             Астма</t>
  </si>
  <si>
    <t>Забележка: Показателите са изчислени с населението на община Горна Оряховица, Лясковец и Стражица</t>
  </si>
  <si>
    <t>ХОСПИТАЛИЗИРАНА   ЗАБОЛЕВАЕМОСТ  В  МОБАЛ   ВЕЛИКО  ТЪРНОВО  ПРЕЗ  2016 год.</t>
  </si>
  <si>
    <t xml:space="preserve">ХОСПИТАЛИЗИРАНА   ЗАБОЛЕВАЕМОСТ  В  МНОГОПРОФИЛНИТЕ БОЛНИЦИ НА ОБЛАСТ  ВЕЛИКО ТЪРНОВО  ПРЕЗ  2016 год.  </t>
  </si>
  <si>
    <t>ХОСПИТАЛИЗИРАНА   ЗАБОЛЕВАЕМОСТ  В  МБАЛ  ПАВЛИКЕНИ  ПРЕЗ  2016 год.</t>
  </si>
  <si>
    <t>ХОСПИТАЛИЗИРАНА   ЗАБОЛЕВАЕМОСТ  В  МБАЛ  СВИЩОВ  ПРЕЗ  2016 год.</t>
  </si>
  <si>
    <t>ХОСПИТАЛИЗИРАНА   ЗАБОЛЕВАЕМОСТ  В  СБАЛК  ПРЕЗ  2016 год.</t>
  </si>
  <si>
    <t>ХОСПИТАЛИЗИРАНА   ЗАБОЛЕВАЕМОСТ  В  ДПБ  ЦЕРОВА КОРИЯ  ПРЕЗ  2016 год.</t>
  </si>
  <si>
    <t>ХОСПИТАЛИЗИРАНА   ЗАБОЛЕВАЕМОСТ  В  ЦПЗ  ПРЕЗ  2016 год.</t>
  </si>
  <si>
    <t>ХОСПИТАЛИЗИРАНА   ЗАБОЛЕВАЕМОСТ  В  ЦКВЗ  ПРЕЗ  2016 год.</t>
  </si>
  <si>
    <t>ХОСПИТАЛИЗИРАНА   ЗАБОЛЕВАЕМОСТ  В  СБАЛПФЗ  ПРЕЗ  2016 год.</t>
  </si>
  <si>
    <t>ХОСПИТАЛИЗИРАНА   ЗАБОЛЕВАЕМОСТ  В  КОЦ  ПРЕЗ  2016 год.</t>
  </si>
  <si>
    <t>ХОСПИТАЛИЗИРАНА   ЗАБОЛЕВАЕМОСТ  В  МБАЛ  ГОРНА  ОРЯХОВИЦА  ПРЕЗ  2016 год.</t>
  </si>
  <si>
    <t xml:space="preserve">ХОСПИТАЛИЗИРАНА   ЗАБОЛЕВАЕМОСТ  В  ЛЕЧЕБНИТЕ ЗАВЕДЕНИЯ ЗА БОЛНИЧНА ПОМОЩ В  ОБЛАСТ  ВЕЛИКО ТЪРНОВО  ПРЕЗ  2016 год.  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</si>
</sst>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0.000000"/>
    <numFmt numFmtId="184" formatCode="0.00000"/>
    <numFmt numFmtId="185" formatCode="0.0%"/>
    <numFmt numFmtId="186" formatCode="0;[Red]0"/>
  </numFmts>
  <fonts count="5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i/>
      <sz val="9"/>
      <name val="Hebar"/>
      <family val="2"/>
    </font>
    <font>
      <sz val="11"/>
      <name val="Hebar"/>
      <family val="2"/>
    </font>
    <font>
      <b/>
      <sz val="11"/>
      <name val="Hebar"/>
      <family val="2"/>
    </font>
    <font>
      <sz val="8"/>
      <name val="Heba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Hebar"/>
      <family val="0"/>
    </font>
    <font>
      <sz val="9"/>
      <name val="Hebar"/>
      <family val="0"/>
    </font>
    <font>
      <i/>
      <sz val="9"/>
      <name val="Times New Roman"/>
      <family val="1"/>
    </font>
    <font>
      <sz val="9"/>
      <name val="Times New Roman"/>
      <family val="1"/>
    </font>
    <font>
      <i/>
      <sz val="11"/>
      <name val="Heba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82" fontId="6" fillId="0" borderId="12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182" fontId="2" fillId="0" borderId="14" xfId="0" applyNumberFormat="1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right" vertical="center"/>
    </xf>
    <xf numFmtId="182" fontId="2" fillId="0" borderId="19" xfId="0" applyNumberFormat="1" applyFont="1" applyFill="1" applyBorder="1" applyAlignment="1">
      <alignment horizontal="right" vertical="center"/>
    </xf>
    <xf numFmtId="182" fontId="2" fillId="0" borderId="2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4" fillId="0" borderId="21" xfId="0" applyFont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right" vertical="center"/>
    </xf>
    <xf numFmtId="182" fontId="2" fillId="0" borderId="19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182" fontId="2" fillId="0" borderId="14" xfId="0" applyNumberFormat="1" applyFont="1" applyFill="1" applyBorder="1" applyAlignment="1">
      <alignment horizontal="right" vertical="center"/>
    </xf>
    <xf numFmtId="2" fontId="2" fillId="0" borderId="22" xfId="0" applyNumberFormat="1" applyFont="1" applyFill="1" applyBorder="1" applyAlignment="1">
      <alignment horizontal="right" vertical="center"/>
    </xf>
    <xf numFmtId="182" fontId="2" fillId="0" borderId="23" xfId="0" applyNumberFormat="1" applyFont="1" applyFill="1" applyBorder="1" applyAlignment="1">
      <alignment horizontal="right" vertical="center"/>
    </xf>
    <xf numFmtId="182" fontId="2" fillId="0" borderId="24" xfId="0" applyNumberFormat="1" applyFont="1" applyFill="1" applyBorder="1" applyAlignment="1">
      <alignment horizontal="right" vertical="center"/>
    </xf>
    <xf numFmtId="182" fontId="2" fillId="0" borderId="25" xfId="0" applyNumberFormat="1" applyFont="1" applyFill="1" applyBorder="1" applyAlignment="1">
      <alignment horizontal="right" vertical="center"/>
    </xf>
    <xf numFmtId="182" fontId="6" fillId="0" borderId="26" xfId="0" applyNumberFormat="1" applyFont="1" applyFill="1" applyBorder="1" applyAlignment="1">
      <alignment horizontal="right" vertical="center"/>
    </xf>
    <xf numFmtId="182" fontId="2" fillId="0" borderId="27" xfId="0" applyNumberFormat="1" applyFont="1" applyFill="1" applyBorder="1" applyAlignment="1">
      <alignment horizontal="right" vertical="center"/>
    </xf>
    <xf numFmtId="182" fontId="2" fillId="0" borderId="28" xfId="0" applyNumberFormat="1" applyFont="1" applyFill="1" applyBorder="1" applyAlignment="1">
      <alignment horizontal="right" vertical="center"/>
    </xf>
    <xf numFmtId="182" fontId="2" fillId="0" borderId="24" xfId="0" applyNumberFormat="1" applyFont="1" applyFill="1" applyBorder="1" applyAlignment="1">
      <alignment horizontal="right" vertical="center"/>
    </xf>
    <xf numFmtId="182" fontId="2" fillId="0" borderId="25" xfId="0" applyNumberFormat="1" applyFont="1" applyFill="1" applyBorder="1" applyAlignment="1">
      <alignment horizontal="right" vertical="center"/>
    </xf>
    <xf numFmtId="0" fontId="8" fillId="0" borderId="25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justify" vertical="center" wrapText="1"/>
    </xf>
    <xf numFmtId="0" fontId="8" fillId="0" borderId="3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8" fillId="0" borderId="27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1" xfId="0" applyFill="1" applyBorder="1" applyAlignment="1">
      <alignment horizontal="centerContinuous" vertical="center"/>
    </xf>
    <xf numFmtId="0" fontId="0" fillId="0" borderId="32" xfId="0" applyFill="1" applyBorder="1" applyAlignment="1">
      <alignment horizontal="centerContinuous" vertical="center"/>
    </xf>
    <xf numFmtId="0" fontId="0" fillId="0" borderId="33" xfId="0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34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right" vertical="center"/>
    </xf>
    <xf numFmtId="182" fontId="2" fillId="0" borderId="35" xfId="0" applyNumberFormat="1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182" fontId="2" fillId="0" borderId="24" xfId="0" applyNumberFormat="1" applyFont="1" applyBorder="1" applyAlignment="1">
      <alignment horizontal="right" vertical="center"/>
    </xf>
    <xf numFmtId="182" fontId="0" fillId="0" borderId="27" xfId="0" applyNumberFormat="1" applyFont="1" applyFill="1" applyBorder="1" applyAlignment="1">
      <alignment horizontal="right" vertical="center"/>
    </xf>
    <xf numFmtId="182" fontId="2" fillId="0" borderId="35" xfId="0" applyNumberFormat="1" applyFont="1" applyBorder="1" applyAlignment="1">
      <alignment horizontal="right" vertical="center"/>
    </xf>
    <xf numFmtId="2" fontId="2" fillId="0" borderId="22" xfId="0" applyNumberFormat="1" applyFont="1" applyBorder="1" applyAlignment="1">
      <alignment horizontal="right" vertical="center"/>
    </xf>
    <xf numFmtId="182" fontId="2" fillId="0" borderId="27" xfId="0" applyNumberFormat="1" applyFont="1" applyBorder="1" applyAlignment="1">
      <alignment horizontal="right" vertical="center"/>
    </xf>
    <xf numFmtId="182" fontId="2" fillId="0" borderId="36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182" fontId="2" fillId="0" borderId="25" xfId="0" applyNumberFormat="1" applyFont="1" applyBorder="1" applyAlignment="1">
      <alignment horizontal="right" vertical="center"/>
    </xf>
    <xf numFmtId="182" fontId="2" fillId="0" borderId="37" xfId="0" applyNumberFormat="1" applyFont="1" applyBorder="1" applyAlignment="1">
      <alignment horizontal="right" vertical="center"/>
    </xf>
    <xf numFmtId="182" fontId="0" fillId="0" borderId="24" xfId="0" applyNumberFormat="1" applyFont="1" applyFill="1" applyBorder="1" applyAlignment="1">
      <alignment horizontal="right" vertical="center"/>
    </xf>
    <xf numFmtId="182" fontId="0" fillId="0" borderId="25" xfId="0" applyNumberFormat="1" applyFont="1" applyFill="1" applyBorder="1" applyAlignment="1">
      <alignment horizontal="right" vertical="center"/>
    </xf>
    <xf numFmtId="182" fontId="2" fillId="0" borderId="37" xfId="0" applyNumberFormat="1" applyFont="1" applyFill="1" applyBorder="1" applyAlignment="1">
      <alignment horizontal="right" vertical="center"/>
    </xf>
    <xf numFmtId="2" fontId="2" fillId="0" borderId="38" xfId="0" applyNumberFormat="1" applyFont="1" applyBorder="1" applyAlignment="1">
      <alignment horizontal="right" vertical="center"/>
    </xf>
    <xf numFmtId="182" fontId="2" fillId="0" borderId="29" xfId="0" applyNumberFormat="1" applyFont="1" applyBorder="1" applyAlignment="1">
      <alignment horizontal="right" vertical="center"/>
    </xf>
    <xf numFmtId="182" fontId="2" fillId="0" borderId="29" xfId="0" applyNumberFormat="1" applyFont="1" applyFill="1" applyBorder="1" applyAlignment="1">
      <alignment horizontal="right" vertical="center"/>
    </xf>
    <xf numFmtId="182" fontId="2" fillId="0" borderId="39" xfId="0" applyNumberFormat="1" applyFont="1" applyBorder="1" applyAlignment="1">
      <alignment horizontal="right" vertical="center"/>
    </xf>
    <xf numFmtId="2" fontId="2" fillId="0" borderId="40" xfId="0" applyNumberFormat="1" applyFont="1" applyBorder="1" applyAlignment="1">
      <alignment horizontal="right" vertical="center"/>
    </xf>
    <xf numFmtId="182" fontId="2" fillId="0" borderId="30" xfId="0" applyNumberFormat="1" applyFont="1" applyBorder="1" applyAlignment="1">
      <alignment horizontal="right" vertical="center"/>
    </xf>
    <xf numFmtId="182" fontId="2" fillId="0" borderId="30" xfId="0" applyNumberFormat="1" applyFont="1" applyFill="1" applyBorder="1" applyAlignment="1">
      <alignment horizontal="right" vertical="center"/>
    </xf>
    <xf numFmtId="182" fontId="2" fillId="0" borderId="41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182" fontId="2" fillId="0" borderId="28" xfId="0" applyNumberFormat="1" applyFont="1" applyBorder="1" applyAlignment="1">
      <alignment horizontal="right" vertical="center"/>
    </xf>
    <xf numFmtId="182" fontId="2" fillId="0" borderId="28" xfId="0" applyNumberFormat="1" applyFont="1" applyFill="1" applyBorder="1" applyAlignment="1">
      <alignment horizontal="right" vertical="center"/>
    </xf>
    <xf numFmtId="182" fontId="2" fillId="0" borderId="42" xfId="0" applyNumberFormat="1" applyFont="1" applyBorder="1" applyAlignment="1">
      <alignment horizontal="right" vertical="center"/>
    </xf>
    <xf numFmtId="0" fontId="5" fillId="0" borderId="43" xfId="0" applyFont="1" applyBorder="1" applyAlignment="1">
      <alignment vertical="center"/>
    </xf>
    <xf numFmtId="0" fontId="10" fillId="0" borderId="44" xfId="0" applyFont="1" applyBorder="1" applyAlignment="1">
      <alignment horizontal="right" vertical="center"/>
    </xf>
    <xf numFmtId="0" fontId="6" fillId="33" borderId="45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right" vertical="center"/>
    </xf>
    <xf numFmtId="0" fontId="0" fillId="33" borderId="46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47" xfId="0" applyFont="1" applyFill="1" applyBorder="1" applyAlignment="1">
      <alignment horizontal="right" vertical="center"/>
    </xf>
    <xf numFmtId="0" fontId="0" fillId="33" borderId="48" xfId="0" applyFont="1" applyFill="1" applyBorder="1" applyAlignment="1">
      <alignment horizontal="right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left" vertical="center" wrapText="1"/>
    </xf>
    <xf numFmtId="1" fontId="6" fillId="33" borderId="45" xfId="0" applyNumberFormat="1" applyFont="1" applyFill="1" applyBorder="1" applyAlignment="1">
      <alignment horizontal="right" vertical="center"/>
    </xf>
    <xf numFmtId="2" fontId="6" fillId="33" borderId="49" xfId="0" applyNumberFormat="1" applyFont="1" applyFill="1" applyBorder="1" applyAlignment="1">
      <alignment horizontal="right" vertical="center"/>
    </xf>
    <xf numFmtId="182" fontId="6" fillId="33" borderId="26" xfId="0" applyNumberFormat="1" applyFont="1" applyFill="1" applyBorder="1" applyAlignment="1">
      <alignment horizontal="right" vertical="center"/>
    </xf>
    <xf numFmtId="0" fontId="6" fillId="33" borderId="45" xfId="0" applyFont="1" applyFill="1" applyBorder="1" applyAlignment="1">
      <alignment horizontal="right" vertical="center"/>
    </xf>
    <xf numFmtId="182" fontId="6" fillId="33" borderId="12" xfId="0" applyNumberFormat="1" applyFont="1" applyFill="1" applyBorder="1" applyAlignment="1">
      <alignment horizontal="right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left" vertical="center"/>
    </xf>
    <xf numFmtId="1" fontId="6" fillId="33" borderId="48" xfId="0" applyNumberFormat="1" applyFont="1" applyFill="1" applyBorder="1" applyAlignment="1">
      <alignment horizontal="right" vertical="center"/>
    </xf>
    <xf numFmtId="2" fontId="6" fillId="33" borderId="40" xfId="0" applyNumberFormat="1" applyFont="1" applyFill="1" applyBorder="1" applyAlignment="1">
      <alignment horizontal="right" vertical="center"/>
    </xf>
    <xf numFmtId="182" fontId="6" fillId="33" borderId="30" xfId="0" applyNumberFormat="1" applyFont="1" applyFill="1" applyBorder="1" applyAlignment="1">
      <alignment horizontal="right" vertical="center"/>
    </xf>
    <xf numFmtId="182" fontId="6" fillId="33" borderId="50" xfId="0" applyNumberFormat="1" applyFont="1" applyFill="1" applyBorder="1" applyAlignment="1">
      <alignment horizontal="right" vertical="center"/>
    </xf>
    <xf numFmtId="0" fontId="6" fillId="33" borderId="45" xfId="0" applyFont="1" applyFill="1" applyBorder="1" applyAlignment="1">
      <alignment horizontal="center" vertical="center"/>
    </xf>
    <xf numFmtId="1" fontId="6" fillId="33" borderId="45" xfId="0" applyNumberFormat="1" applyFont="1" applyFill="1" applyBorder="1" applyAlignment="1">
      <alignment horizontal="right" vertical="center"/>
    </xf>
    <xf numFmtId="2" fontId="6" fillId="33" borderId="49" xfId="0" applyNumberFormat="1" applyFont="1" applyFill="1" applyBorder="1" applyAlignment="1">
      <alignment horizontal="right" vertical="center"/>
    </xf>
    <xf numFmtId="182" fontId="6" fillId="33" borderId="26" xfId="0" applyNumberFormat="1" applyFont="1" applyFill="1" applyBorder="1" applyAlignment="1">
      <alignment horizontal="right" vertical="center"/>
    </xf>
    <xf numFmtId="182" fontId="6" fillId="33" borderId="12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/>
    </xf>
    <xf numFmtId="0" fontId="10" fillId="33" borderId="44" xfId="0" applyFont="1" applyFill="1" applyBorder="1" applyAlignment="1">
      <alignment horizontal="right" vertical="center" indent="1"/>
    </xf>
    <xf numFmtId="182" fontId="6" fillId="33" borderId="51" xfId="0" applyNumberFormat="1" applyFont="1" applyFill="1" applyBorder="1" applyAlignment="1">
      <alignment horizontal="right" vertical="center"/>
    </xf>
    <xf numFmtId="0" fontId="1" fillId="33" borderId="45" xfId="0" applyFont="1" applyFill="1" applyBorder="1" applyAlignment="1">
      <alignment horizontal="center" vertical="center"/>
    </xf>
    <xf numFmtId="1" fontId="0" fillId="33" borderId="11" xfId="0" applyNumberFormat="1" applyFont="1" applyFill="1" applyBorder="1" applyAlignment="1">
      <alignment horizontal="right" vertical="center"/>
    </xf>
    <xf numFmtId="1" fontId="0" fillId="33" borderId="46" xfId="0" applyNumberFormat="1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1" fontId="0" fillId="33" borderId="17" xfId="0" applyNumberFormat="1" applyFont="1" applyFill="1" applyBorder="1" applyAlignment="1">
      <alignment horizontal="right" vertical="center"/>
    </xf>
    <xf numFmtId="1" fontId="0" fillId="33" borderId="10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1" fontId="0" fillId="33" borderId="48" xfId="0" applyNumberFormat="1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justify" vertical="center" wrapText="1"/>
    </xf>
    <xf numFmtId="0" fontId="12" fillId="0" borderId="31" xfId="0" applyFont="1" applyFill="1" applyBorder="1" applyAlignment="1">
      <alignment horizontal="centerContinuous"/>
    </xf>
    <xf numFmtId="0" fontId="12" fillId="0" borderId="32" xfId="0" applyFont="1" applyFill="1" applyBorder="1" applyAlignment="1">
      <alignment horizontal="centerContinuous"/>
    </xf>
    <xf numFmtId="0" fontId="12" fillId="0" borderId="33" xfId="0" applyFont="1" applyFill="1" applyBorder="1" applyAlignment="1">
      <alignment horizontal="centerContinuous"/>
    </xf>
    <xf numFmtId="0" fontId="0" fillId="33" borderId="46" xfId="0" applyFont="1" applyFill="1" applyBorder="1" applyAlignment="1">
      <alignment horizontal="right" vertical="center" indent="1"/>
    </xf>
    <xf numFmtId="0" fontId="0" fillId="33" borderId="17" xfId="0" applyFont="1" applyFill="1" applyBorder="1" applyAlignment="1">
      <alignment horizontal="right" vertical="center" indent="1"/>
    </xf>
    <xf numFmtId="0" fontId="6" fillId="33" borderId="52" xfId="0" applyFont="1" applyFill="1" applyBorder="1" applyAlignment="1">
      <alignment horizontal="right" vertical="center" indent="1"/>
    </xf>
    <xf numFmtId="0" fontId="6" fillId="33" borderId="45" xfId="0" applyFont="1" applyFill="1" applyBorder="1" applyAlignment="1">
      <alignment horizontal="right" vertical="center" indent="1"/>
    </xf>
    <xf numFmtId="0" fontId="0" fillId="33" borderId="48" xfId="0" applyFont="1" applyFill="1" applyBorder="1" applyAlignment="1">
      <alignment horizontal="right" vertical="center" indent="1"/>
    </xf>
    <xf numFmtId="0" fontId="6" fillId="33" borderId="17" xfId="0" applyFont="1" applyFill="1" applyBorder="1" applyAlignment="1">
      <alignment horizontal="right" vertical="center" indent="1"/>
    </xf>
    <xf numFmtId="0" fontId="0" fillId="33" borderId="11" xfId="0" applyFont="1" applyFill="1" applyBorder="1" applyAlignment="1">
      <alignment horizontal="right" vertical="center" indent="1"/>
    </xf>
    <xf numFmtId="0" fontId="0" fillId="33" borderId="47" xfId="0" applyFont="1" applyFill="1" applyBorder="1" applyAlignment="1">
      <alignment horizontal="right" vertical="center" indent="1"/>
    </xf>
    <xf numFmtId="0" fontId="0" fillId="33" borderId="10" xfId="0" applyFont="1" applyFill="1" applyBorder="1" applyAlignment="1">
      <alignment horizontal="right" vertical="center" indent="1"/>
    </xf>
    <xf numFmtId="0" fontId="2" fillId="33" borderId="10" xfId="0" applyFont="1" applyFill="1" applyBorder="1" applyAlignment="1">
      <alignment horizontal="right" vertical="center" indent="1"/>
    </xf>
    <xf numFmtId="0" fontId="10" fillId="33" borderId="5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right" vertical="center" indent="1"/>
    </xf>
    <xf numFmtId="0" fontId="10" fillId="33" borderId="44" xfId="0" applyFont="1" applyFill="1" applyBorder="1" applyAlignment="1">
      <alignment horizontal="right" vertical="center"/>
    </xf>
    <xf numFmtId="0" fontId="6" fillId="33" borderId="45" xfId="0" applyFont="1" applyFill="1" applyBorder="1" applyAlignment="1">
      <alignment horizontal="right" vertical="center" indent="1"/>
    </xf>
    <xf numFmtId="1" fontId="0" fillId="33" borderId="11" xfId="0" applyNumberFormat="1" applyFont="1" applyFill="1" applyBorder="1" applyAlignment="1">
      <alignment horizontal="right" vertical="center" indent="1"/>
    </xf>
    <xf numFmtId="1" fontId="0" fillId="33" borderId="46" xfId="0" applyNumberFormat="1" applyFont="1" applyFill="1" applyBorder="1" applyAlignment="1">
      <alignment horizontal="right" vertical="center" indent="1"/>
    </xf>
    <xf numFmtId="1" fontId="6" fillId="33" borderId="45" xfId="0" applyNumberFormat="1" applyFont="1" applyFill="1" applyBorder="1" applyAlignment="1">
      <alignment horizontal="right" vertical="center" indent="1"/>
    </xf>
    <xf numFmtId="1" fontId="0" fillId="33" borderId="17" xfId="0" applyNumberFormat="1" applyFont="1" applyFill="1" applyBorder="1" applyAlignment="1">
      <alignment horizontal="right" vertical="center" indent="1"/>
    </xf>
    <xf numFmtId="1" fontId="0" fillId="33" borderId="10" xfId="0" applyNumberFormat="1" applyFont="1" applyFill="1" applyBorder="1" applyAlignment="1">
      <alignment horizontal="right" vertical="center" indent="1"/>
    </xf>
    <xf numFmtId="1" fontId="6" fillId="33" borderId="45" xfId="0" applyNumberFormat="1" applyFont="1" applyFill="1" applyBorder="1" applyAlignment="1">
      <alignment horizontal="right" vertical="center" indent="1"/>
    </xf>
    <xf numFmtId="1" fontId="0" fillId="33" borderId="48" xfId="0" applyNumberFormat="1" applyFont="1" applyFill="1" applyBorder="1" applyAlignment="1">
      <alignment horizontal="right" vertical="center" indent="1"/>
    </xf>
    <xf numFmtId="0" fontId="4" fillId="0" borderId="34" xfId="0" applyFont="1" applyBorder="1" applyAlignment="1">
      <alignment horizontal="center" vertical="center"/>
    </xf>
    <xf numFmtId="0" fontId="10" fillId="33" borderId="53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left" vertical="center" wrapText="1"/>
    </xf>
    <xf numFmtId="2" fontId="6" fillId="33" borderId="22" xfId="0" applyNumberFormat="1" applyFont="1" applyFill="1" applyBorder="1" applyAlignment="1">
      <alignment horizontal="right" vertical="center"/>
    </xf>
    <xf numFmtId="182" fontId="6" fillId="33" borderId="23" xfId="0" applyNumberFormat="1" applyFont="1" applyFill="1" applyBorder="1" applyAlignment="1">
      <alignment horizontal="right" vertical="center"/>
    </xf>
    <xf numFmtId="0" fontId="8" fillId="0" borderId="24" xfId="0" applyFont="1" applyBorder="1" applyAlignment="1">
      <alignment horizontal="left" vertical="center" wrapText="1"/>
    </xf>
    <xf numFmtId="0" fontId="5" fillId="33" borderId="43" xfId="0" applyFont="1" applyFill="1" applyBorder="1" applyAlignment="1">
      <alignment vertical="center"/>
    </xf>
    <xf numFmtId="0" fontId="13" fillId="0" borderId="51" xfId="0" applyFont="1" applyFill="1" applyBorder="1" applyAlignment="1">
      <alignment horizontal="justify" vertical="center" wrapText="1"/>
    </xf>
    <xf numFmtId="1" fontId="6" fillId="33" borderId="48" xfId="0" applyNumberFormat="1" applyFont="1" applyFill="1" applyBorder="1" applyAlignment="1">
      <alignment horizontal="right" vertical="center" indent="1"/>
    </xf>
    <xf numFmtId="0" fontId="6" fillId="33" borderId="48" xfId="0" applyFont="1" applyFill="1" applyBorder="1" applyAlignment="1">
      <alignment horizontal="right" vertical="center" indent="1"/>
    </xf>
    <xf numFmtId="0" fontId="6" fillId="33" borderId="17" xfId="0" applyFont="1" applyFill="1" applyBorder="1" applyAlignment="1">
      <alignment horizontal="right" vertical="center" indent="1"/>
    </xf>
    <xf numFmtId="0" fontId="6" fillId="33" borderId="34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right" vertical="center" indent="1"/>
    </xf>
    <xf numFmtId="0" fontId="5" fillId="33" borderId="17" xfId="0" applyFont="1" applyFill="1" applyBorder="1" applyAlignment="1">
      <alignment horizontal="right" vertical="center" indent="1"/>
    </xf>
    <xf numFmtId="0" fontId="5" fillId="33" borderId="45" xfId="0" applyFont="1" applyFill="1" applyBorder="1" applyAlignment="1">
      <alignment horizontal="right" vertical="center" indent="1"/>
    </xf>
    <xf numFmtId="0" fontId="5" fillId="33" borderId="11" xfId="0" applyFont="1" applyFill="1" applyBorder="1" applyAlignment="1">
      <alignment horizontal="right" vertical="center" indent="1"/>
    </xf>
    <xf numFmtId="0" fontId="5" fillId="33" borderId="46" xfId="0" applyFont="1" applyFill="1" applyBorder="1" applyAlignment="1">
      <alignment horizontal="right" vertical="center" indent="1"/>
    </xf>
    <xf numFmtId="0" fontId="5" fillId="33" borderId="48" xfId="0" applyFont="1" applyFill="1" applyBorder="1" applyAlignment="1">
      <alignment horizontal="right" vertical="center" indent="1"/>
    </xf>
    <xf numFmtId="0" fontId="5" fillId="33" borderId="10" xfId="0" applyFont="1" applyFill="1" applyBorder="1" applyAlignment="1">
      <alignment horizontal="right" vertical="center" indent="1"/>
    </xf>
    <xf numFmtId="0" fontId="5" fillId="33" borderId="47" xfId="0" applyFont="1" applyFill="1" applyBorder="1" applyAlignment="1">
      <alignment horizontal="right" vertical="center" indent="1"/>
    </xf>
    <xf numFmtId="0" fontId="12" fillId="0" borderId="32" xfId="0" applyFont="1" applyBorder="1" applyAlignment="1">
      <alignment horizontal="centerContinuous" vertical="center"/>
    </xf>
    <xf numFmtId="0" fontId="12" fillId="0" borderId="31" xfId="0" applyFont="1" applyBorder="1" applyAlignment="1">
      <alignment horizontal="centerContinuous" vertical="center"/>
    </xf>
    <xf numFmtId="0" fontId="12" fillId="0" borderId="33" xfId="0" applyFont="1" applyBorder="1" applyAlignment="1">
      <alignment horizontal="centerContinuous" vertical="center"/>
    </xf>
    <xf numFmtId="0" fontId="12" fillId="0" borderId="4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182" fontId="6" fillId="33" borderId="51" xfId="0" applyNumberFormat="1" applyFont="1" applyFill="1" applyBorder="1" applyAlignment="1">
      <alignment horizontal="right" vertical="center"/>
    </xf>
    <xf numFmtId="0" fontId="6" fillId="33" borderId="54" xfId="0" applyFont="1" applyFill="1" applyBorder="1" applyAlignment="1">
      <alignment horizontal="right" vertical="center" indent="1"/>
    </xf>
    <xf numFmtId="0" fontId="1" fillId="33" borderId="45" xfId="0" applyFont="1" applyFill="1" applyBorder="1" applyAlignment="1">
      <alignment horizontal="right" vertical="center" indent="1"/>
    </xf>
    <xf numFmtId="0" fontId="1" fillId="33" borderId="45" xfId="0" applyFont="1" applyFill="1" applyBorder="1" applyAlignment="1">
      <alignment horizontal="right" vertical="center" indent="1"/>
    </xf>
    <xf numFmtId="0" fontId="1" fillId="33" borderId="11" xfId="0" applyFont="1" applyFill="1" applyBorder="1" applyAlignment="1">
      <alignment horizontal="right" vertical="center" indent="1"/>
    </xf>
    <xf numFmtId="0" fontId="6" fillId="33" borderId="49" xfId="0" applyFont="1" applyFill="1" applyBorder="1" applyAlignment="1">
      <alignment horizontal="right" vertical="center" indent="1"/>
    </xf>
    <xf numFmtId="0" fontId="6" fillId="33" borderId="4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2" fontId="1" fillId="33" borderId="49" xfId="0" applyNumberFormat="1" applyFont="1" applyFill="1" applyBorder="1" applyAlignment="1">
      <alignment horizontal="right" vertical="center"/>
    </xf>
    <xf numFmtId="182" fontId="1" fillId="33" borderId="26" xfId="0" applyNumberFormat="1" applyFont="1" applyFill="1" applyBorder="1" applyAlignment="1">
      <alignment horizontal="right" vertical="center"/>
    </xf>
    <xf numFmtId="182" fontId="1" fillId="33" borderId="51" xfId="0" applyNumberFormat="1" applyFont="1" applyFill="1" applyBorder="1" applyAlignment="1">
      <alignment horizontal="right" vertical="center"/>
    </xf>
    <xf numFmtId="2" fontId="1" fillId="33" borderId="18" xfId="0" applyNumberFormat="1" applyFont="1" applyFill="1" applyBorder="1" applyAlignment="1">
      <alignment horizontal="right" vertical="center"/>
    </xf>
    <xf numFmtId="182" fontId="1" fillId="33" borderId="24" xfId="0" applyNumberFormat="1" applyFont="1" applyFill="1" applyBorder="1" applyAlignment="1">
      <alignment horizontal="right" vertical="center"/>
    </xf>
    <xf numFmtId="182" fontId="6" fillId="33" borderId="27" xfId="0" applyNumberFormat="1" applyFont="1" applyFill="1" applyBorder="1" applyAlignment="1">
      <alignment horizontal="right" vertical="center"/>
    </xf>
    <xf numFmtId="182" fontId="1" fillId="33" borderId="35" xfId="0" applyNumberFormat="1" applyFont="1" applyFill="1" applyBorder="1" applyAlignment="1">
      <alignment horizontal="right" vertical="center"/>
    </xf>
    <xf numFmtId="2" fontId="1" fillId="33" borderId="49" xfId="0" applyNumberFormat="1" applyFont="1" applyFill="1" applyBorder="1" applyAlignment="1">
      <alignment horizontal="right" vertical="center"/>
    </xf>
    <xf numFmtId="182" fontId="1" fillId="33" borderId="26" xfId="0" applyNumberFormat="1" applyFont="1" applyFill="1" applyBorder="1" applyAlignment="1">
      <alignment horizontal="right" vertical="center"/>
    </xf>
    <xf numFmtId="182" fontId="1" fillId="33" borderId="51" xfId="0" applyNumberFormat="1" applyFont="1" applyFill="1" applyBorder="1" applyAlignment="1">
      <alignment horizontal="right" vertical="center"/>
    </xf>
    <xf numFmtId="182" fontId="6" fillId="33" borderId="49" xfId="0" applyNumberFormat="1" applyFont="1" applyFill="1" applyBorder="1" applyAlignment="1">
      <alignment horizontal="right" vertical="center"/>
    </xf>
    <xf numFmtId="182" fontId="11" fillId="33" borderId="26" xfId="0" applyNumberFormat="1" applyFont="1" applyFill="1" applyBorder="1" applyAlignment="1">
      <alignment horizontal="right" vertical="center"/>
    </xf>
    <xf numFmtId="2" fontId="2" fillId="33" borderId="49" xfId="0" applyNumberFormat="1" applyFont="1" applyFill="1" applyBorder="1" applyAlignment="1">
      <alignment horizontal="right" vertical="center"/>
    </xf>
    <xf numFmtId="0" fontId="12" fillId="33" borderId="46" xfId="0" applyFont="1" applyFill="1" applyBorder="1" applyAlignment="1">
      <alignment horizontal="right" vertical="center" indent="1"/>
    </xf>
    <xf numFmtId="2" fontId="4" fillId="0" borderId="13" xfId="0" applyNumberFormat="1" applyFont="1" applyBorder="1" applyAlignment="1">
      <alignment horizontal="right" vertical="center"/>
    </xf>
    <xf numFmtId="182" fontId="4" fillId="0" borderId="25" xfId="0" applyNumberFormat="1" applyFont="1" applyBorder="1" applyAlignment="1">
      <alignment horizontal="right" vertical="center"/>
    </xf>
    <xf numFmtId="182" fontId="4" fillId="0" borderId="25" xfId="0" applyNumberFormat="1" applyFont="1" applyFill="1" applyBorder="1" applyAlignment="1">
      <alignment horizontal="right" vertical="center"/>
    </xf>
    <xf numFmtId="182" fontId="4" fillId="0" borderId="37" xfId="0" applyNumberFormat="1" applyFont="1" applyBorder="1" applyAlignment="1">
      <alignment horizontal="right" vertical="center"/>
    </xf>
    <xf numFmtId="0" fontId="13" fillId="0" borderId="25" xfId="0" applyFont="1" applyBorder="1" applyAlignment="1">
      <alignment horizontal="left" vertical="center"/>
    </xf>
    <xf numFmtId="0" fontId="12" fillId="33" borderId="11" xfId="0" applyFont="1" applyFill="1" applyBorder="1" applyAlignment="1">
      <alignment horizontal="right" vertical="center" indent="1"/>
    </xf>
    <xf numFmtId="0" fontId="5" fillId="0" borderId="0" xfId="0" applyFont="1" applyAlignment="1">
      <alignment vertical="center"/>
    </xf>
    <xf numFmtId="2" fontId="5" fillId="33" borderId="45" xfId="0" applyNumberFormat="1" applyFont="1" applyFill="1" applyBorder="1" applyAlignment="1">
      <alignment horizontal="right" vertical="center" indent="1"/>
    </xf>
    <xf numFmtId="2" fontId="5" fillId="33" borderId="49" xfId="0" applyNumberFormat="1" applyFont="1" applyFill="1" applyBorder="1" applyAlignment="1">
      <alignment horizontal="right" vertical="center"/>
    </xf>
    <xf numFmtId="2" fontId="15" fillId="33" borderId="49" xfId="0" applyNumberFormat="1" applyFont="1" applyFill="1" applyBorder="1" applyAlignment="1">
      <alignment horizontal="right" vertical="center"/>
    </xf>
    <xf numFmtId="2" fontId="15" fillId="33" borderId="49" xfId="0" applyNumberFormat="1" applyFont="1" applyFill="1" applyBorder="1" applyAlignment="1">
      <alignment horizontal="right" vertical="center" indent="1"/>
    </xf>
    <xf numFmtId="2" fontId="15" fillId="0" borderId="49" xfId="0" applyNumberFormat="1" applyFont="1" applyFill="1" applyBorder="1" applyAlignment="1">
      <alignment horizontal="right" vertical="center"/>
    </xf>
    <xf numFmtId="0" fontId="10" fillId="0" borderId="5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0" fillId="33" borderId="46" xfId="0" applyFont="1" applyFill="1" applyBorder="1" applyAlignment="1">
      <alignment horizontal="right" vertical="center" inden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 indent="1"/>
    </xf>
    <xf numFmtId="0" fontId="16" fillId="34" borderId="0" xfId="0" applyFont="1" applyFill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3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3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88" zoomScaleNormal="88" zoomScalePageLayoutView="0" workbookViewId="0" topLeftCell="A1">
      <pane ySplit="4" topLeftCell="A5" activePane="bottomLeft" state="frozen"/>
      <selection pane="topLeft" activeCell="A1" sqref="A1"/>
      <selection pane="bottomLeft" activeCell="C17" sqref="C17"/>
    </sheetView>
  </sheetViews>
  <sheetFormatPr defaultColWidth="9.00390625" defaultRowHeight="12.75"/>
  <cols>
    <col min="1" max="1" width="5.7539062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37" t="s">
        <v>88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20.25" customHeight="1" thickBot="1">
      <c r="A2" s="21"/>
      <c r="B2" s="22"/>
      <c r="C2" s="2"/>
      <c r="D2" s="230">
        <v>36720</v>
      </c>
      <c r="E2" s="23"/>
      <c r="F2" s="23"/>
      <c r="G2" s="230">
        <f>J2-D2</f>
        <v>206913</v>
      </c>
      <c r="H2" s="2"/>
      <c r="I2" s="2"/>
      <c r="J2" s="230">
        <v>243633</v>
      </c>
      <c r="K2" s="2"/>
    </row>
    <row r="3" spans="1:11" ht="15.75" customHeight="1">
      <c r="A3" s="239" t="s">
        <v>24</v>
      </c>
      <c r="B3" s="241" t="s">
        <v>5</v>
      </c>
      <c r="C3" s="130" t="s">
        <v>1</v>
      </c>
      <c r="D3" s="129"/>
      <c r="E3" s="129"/>
      <c r="F3" s="130" t="s">
        <v>2</v>
      </c>
      <c r="G3" s="129"/>
      <c r="H3" s="129"/>
      <c r="I3" s="130" t="s">
        <v>3</v>
      </c>
      <c r="J3" s="129"/>
      <c r="K3" s="131"/>
    </row>
    <row r="4" spans="1:11" ht="33.75" customHeight="1" thickBot="1">
      <c r="A4" s="240"/>
      <c r="B4" s="242"/>
      <c r="C4" s="126" t="s">
        <v>6</v>
      </c>
      <c r="D4" s="124" t="s">
        <v>7</v>
      </c>
      <c r="E4" s="125" t="s">
        <v>8</v>
      </c>
      <c r="F4" s="126" t="s">
        <v>6</v>
      </c>
      <c r="G4" s="124" t="s">
        <v>7</v>
      </c>
      <c r="H4" s="125" t="s">
        <v>8</v>
      </c>
      <c r="I4" s="126" t="s">
        <v>6</v>
      </c>
      <c r="J4" s="124" t="s">
        <v>7</v>
      </c>
      <c r="K4" s="127" t="s">
        <v>8</v>
      </c>
    </row>
    <row r="5" spans="1:11" ht="16.5" customHeight="1" thickBot="1">
      <c r="A5" s="167" t="s">
        <v>9</v>
      </c>
      <c r="B5" s="154" t="s">
        <v>26</v>
      </c>
      <c r="C5" s="96">
        <v>371</v>
      </c>
      <c r="D5" s="94">
        <f aca="true" t="shared" si="0" ref="D5:D58">C5*1000/$D$2</f>
        <v>10.103485838779957</v>
      </c>
      <c r="E5" s="95">
        <f aca="true" t="shared" si="1" ref="E5:E56">C5*100/C$58</f>
        <v>11.674008810572687</v>
      </c>
      <c r="F5" s="84">
        <v>378</v>
      </c>
      <c r="G5" s="94">
        <f aca="true" t="shared" si="2" ref="G5:G58">F5*1000/$G$2</f>
        <v>1.8268547650461788</v>
      </c>
      <c r="H5" s="95">
        <f aca="true" t="shared" si="3" ref="H5:H56">F5*100/F$58</f>
        <v>2.5</v>
      </c>
      <c r="I5" s="145">
        <f aca="true" t="shared" si="4" ref="I5:I57">SUM(C5,F5)</f>
        <v>749</v>
      </c>
      <c r="J5" s="94">
        <f aca="true" t="shared" si="5" ref="J5:J58">I5*1000/$J$2</f>
        <v>3.0742961749845055</v>
      </c>
      <c r="K5" s="97">
        <f aca="true" t="shared" si="6" ref="K5:K57">I5*100/I$58</f>
        <v>4.093343534812548</v>
      </c>
    </row>
    <row r="6" spans="1:11" s="1" customFormat="1" ht="13.5" customHeight="1">
      <c r="A6" s="4"/>
      <c r="B6" s="40" t="s">
        <v>36</v>
      </c>
      <c r="C6" s="115">
        <v>297</v>
      </c>
      <c r="D6" s="18">
        <f t="shared" si="0"/>
        <v>8.088235294117647</v>
      </c>
      <c r="E6" s="31">
        <f t="shared" si="1"/>
        <v>9.34550031466331</v>
      </c>
      <c r="F6" s="87">
        <v>227</v>
      </c>
      <c r="G6" s="18">
        <f t="shared" si="2"/>
        <v>1.0970794488504831</v>
      </c>
      <c r="H6" s="31">
        <f t="shared" si="3"/>
        <v>1.5013227513227514</v>
      </c>
      <c r="I6" s="138">
        <f t="shared" si="4"/>
        <v>524</v>
      </c>
      <c r="J6" s="18">
        <f t="shared" si="5"/>
        <v>2.1507759622054485</v>
      </c>
      <c r="K6" s="19">
        <f t="shared" si="6"/>
        <v>2.863700950923598</v>
      </c>
    </row>
    <row r="7" spans="1:11" s="1" customFormat="1" ht="16.5" customHeight="1" thickBot="1">
      <c r="A7" s="4"/>
      <c r="B7" s="39" t="s">
        <v>37</v>
      </c>
      <c r="C7" s="116"/>
      <c r="D7" s="12">
        <f t="shared" si="0"/>
        <v>0</v>
      </c>
      <c r="E7" s="32">
        <f t="shared" si="1"/>
        <v>0</v>
      </c>
      <c r="F7" s="117">
        <v>1</v>
      </c>
      <c r="G7" s="14">
        <f t="shared" si="2"/>
        <v>0.00483294911387878</v>
      </c>
      <c r="H7" s="35">
        <f t="shared" si="3"/>
        <v>0.006613756613756613</v>
      </c>
      <c r="I7" s="140">
        <f t="shared" si="4"/>
        <v>1</v>
      </c>
      <c r="J7" s="14">
        <f t="shared" si="5"/>
        <v>0.004104534279018031</v>
      </c>
      <c r="K7" s="13">
        <f t="shared" si="6"/>
        <v>0.005465078150617554</v>
      </c>
    </row>
    <row r="8" spans="1:11" ht="17.25" customHeight="1" thickBot="1">
      <c r="A8" s="105" t="s">
        <v>10</v>
      </c>
      <c r="B8" s="100" t="s">
        <v>38</v>
      </c>
      <c r="C8" s="93">
        <v>8</v>
      </c>
      <c r="D8" s="94">
        <f t="shared" si="0"/>
        <v>0.2178649237472767</v>
      </c>
      <c r="E8" s="95">
        <f t="shared" si="1"/>
        <v>0.2517306482064191</v>
      </c>
      <c r="F8" s="84">
        <v>675</v>
      </c>
      <c r="G8" s="94">
        <f t="shared" si="2"/>
        <v>3.2622406518681766</v>
      </c>
      <c r="H8" s="95">
        <f t="shared" si="3"/>
        <v>4.464285714285714</v>
      </c>
      <c r="I8" s="145">
        <f t="shared" si="4"/>
        <v>683</v>
      </c>
      <c r="J8" s="94">
        <f t="shared" si="5"/>
        <v>2.8033969125693154</v>
      </c>
      <c r="K8" s="97">
        <f t="shared" si="6"/>
        <v>3.732648376871789</v>
      </c>
    </row>
    <row r="9" spans="1:11" s="1" customFormat="1" ht="15" customHeight="1" thickBot="1">
      <c r="A9" s="153"/>
      <c r="B9" s="40" t="s">
        <v>39</v>
      </c>
      <c r="C9" s="115"/>
      <c r="D9" s="18">
        <f t="shared" si="0"/>
        <v>0</v>
      </c>
      <c r="E9" s="31">
        <f t="shared" si="1"/>
        <v>0</v>
      </c>
      <c r="F9" s="117">
        <v>312</v>
      </c>
      <c r="G9" s="18">
        <f t="shared" si="2"/>
        <v>1.5078801235301793</v>
      </c>
      <c r="H9" s="31">
        <f t="shared" si="3"/>
        <v>2.0634920634920637</v>
      </c>
      <c r="I9" s="138">
        <f t="shared" si="4"/>
        <v>312</v>
      </c>
      <c r="J9" s="18">
        <f t="shared" si="5"/>
        <v>1.2806146950536257</v>
      </c>
      <c r="K9" s="19">
        <f t="shared" si="6"/>
        <v>1.7051043829926769</v>
      </c>
    </row>
    <row r="10" spans="1:11" s="6" customFormat="1" ht="15.75" customHeight="1" thickBot="1">
      <c r="A10" s="165" t="s">
        <v>11</v>
      </c>
      <c r="B10" s="92" t="s">
        <v>40</v>
      </c>
      <c r="C10" s="93">
        <v>5</v>
      </c>
      <c r="D10" s="94">
        <f t="shared" si="0"/>
        <v>0.13616557734204793</v>
      </c>
      <c r="E10" s="95">
        <f t="shared" si="1"/>
        <v>0.15733165512901195</v>
      </c>
      <c r="F10" s="84">
        <v>183</v>
      </c>
      <c r="G10" s="94">
        <f t="shared" si="2"/>
        <v>0.8844296878398167</v>
      </c>
      <c r="H10" s="95">
        <f t="shared" si="3"/>
        <v>1.2103174603174602</v>
      </c>
      <c r="I10" s="145">
        <f t="shared" si="4"/>
        <v>188</v>
      </c>
      <c r="J10" s="94">
        <f t="shared" si="5"/>
        <v>0.7716524444553898</v>
      </c>
      <c r="K10" s="97">
        <f t="shared" si="6"/>
        <v>1.0274346923161002</v>
      </c>
    </row>
    <row r="11" spans="1:11" s="6" customFormat="1" ht="30" customHeight="1" thickBot="1">
      <c r="A11" s="99" t="s">
        <v>12</v>
      </c>
      <c r="B11" s="92" t="s">
        <v>41</v>
      </c>
      <c r="C11" s="93">
        <v>9</v>
      </c>
      <c r="D11" s="94">
        <f t="shared" si="0"/>
        <v>0.24509803921568626</v>
      </c>
      <c r="E11" s="95">
        <f t="shared" si="1"/>
        <v>0.28319697923222154</v>
      </c>
      <c r="F11" s="84">
        <v>582</v>
      </c>
      <c r="G11" s="94">
        <f t="shared" si="2"/>
        <v>2.81277638427745</v>
      </c>
      <c r="H11" s="95">
        <f t="shared" si="3"/>
        <v>3.8492063492063493</v>
      </c>
      <c r="I11" s="145">
        <f t="shared" si="4"/>
        <v>591</v>
      </c>
      <c r="J11" s="94">
        <f t="shared" si="5"/>
        <v>2.4257797588996564</v>
      </c>
      <c r="K11" s="97">
        <f t="shared" si="6"/>
        <v>3.2298611870149743</v>
      </c>
    </row>
    <row r="12" spans="1:11" s="6" customFormat="1" ht="16.5" customHeight="1" thickBot="1">
      <c r="A12" s="17"/>
      <c r="B12" s="41" t="s">
        <v>78</v>
      </c>
      <c r="C12" s="119">
        <v>9</v>
      </c>
      <c r="D12" s="29">
        <f t="shared" si="0"/>
        <v>0.24509803921568626</v>
      </c>
      <c r="E12" s="34">
        <f t="shared" si="1"/>
        <v>0.28319697923222154</v>
      </c>
      <c r="F12" s="117">
        <v>550</v>
      </c>
      <c r="G12" s="29">
        <f t="shared" si="2"/>
        <v>2.658122012633329</v>
      </c>
      <c r="H12" s="34">
        <f t="shared" si="3"/>
        <v>3.6375661375661377</v>
      </c>
      <c r="I12" s="133">
        <f t="shared" si="4"/>
        <v>559</v>
      </c>
      <c r="J12" s="29">
        <f t="shared" si="5"/>
        <v>2.2944346619710796</v>
      </c>
      <c r="K12" s="30">
        <f t="shared" si="6"/>
        <v>3.0549786861952124</v>
      </c>
    </row>
    <row r="13" spans="1:11" s="6" customFormat="1" ht="18.75" customHeight="1" thickBot="1">
      <c r="A13" s="155" t="s">
        <v>13</v>
      </c>
      <c r="B13" s="100" t="s">
        <v>42</v>
      </c>
      <c r="C13" s="101"/>
      <c r="D13" s="102">
        <f t="shared" si="0"/>
        <v>0</v>
      </c>
      <c r="E13" s="103">
        <f t="shared" si="1"/>
        <v>0</v>
      </c>
      <c r="F13" s="84">
        <v>0</v>
      </c>
      <c r="G13" s="102">
        <f t="shared" si="2"/>
        <v>0</v>
      </c>
      <c r="H13" s="103">
        <f t="shared" si="3"/>
        <v>0</v>
      </c>
      <c r="I13" s="163">
        <f t="shared" si="4"/>
        <v>0</v>
      </c>
      <c r="J13" s="102">
        <f t="shared" si="5"/>
        <v>0</v>
      </c>
      <c r="K13" s="104">
        <f t="shared" si="6"/>
        <v>0</v>
      </c>
    </row>
    <row r="14" spans="1:11" s="6" customFormat="1" ht="18.75" customHeight="1" thickBot="1">
      <c r="A14" s="99" t="s">
        <v>14</v>
      </c>
      <c r="B14" s="92" t="s">
        <v>43</v>
      </c>
      <c r="C14" s="93">
        <v>6</v>
      </c>
      <c r="D14" s="94">
        <f t="shared" si="0"/>
        <v>0.16339869281045752</v>
      </c>
      <c r="E14" s="95">
        <f t="shared" si="1"/>
        <v>0.18879798615481436</v>
      </c>
      <c r="F14" s="84">
        <v>532</v>
      </c>
      <c r="G14" s="94">
        <f t="shared" si="2"/>
        <v>2.571128928583511</v>
      </c>
      <c r="H14" s="95">
        <f t="shared" si="3"/>
        <v>3.5185185185185186</v>
      </c>
      <c r="I14" s="145">
        <f t="shared" si="4"/>
        <v>538</v>
      </c>
      <c r="J14" s="94">
        <f t="shared" si="5"/>
        <v>2.208239442111701</v>
      </c>
      <c r="K14" s="113">
        <f t="shared" si="6"/>
        <v>2.940212045032244</v>
      </c>
    </row>
    <row r="15" spans="1:11" s="1" customFormat="1" ht="15.75" customHeight="1" thickBot="1">
      <c r="A15" s="4"/>
      <c r="B15" s="42" t="s">
        <v>44</v>
      </c>
      <c r="C15" s="120"/>
      <c r="D15" s="14">
        <f t="shared" si="0"/>
        <v>0</v>
      </c>
      <c r="E15" s="35">
        <f t="shared" si="1"/>
        <v>0</v>
      </c>
      <c r="F15" s="117">
        <v>40</v>
      </c>
      <c r="G15" s="14">
        <f t="shared" si="2"/>
        <v>0.1933179645551512</v>
      </c>
      <c r="H15" s="35">
        <f t="shared" si="3"/>
        <v>0.26455026455026454</v>
      </c>
      <c r="I15" s="140">
        <f t="shared" si="4"/>
        <v>40</v>
      </c>
      <c r="J15" s="14">
        <f t="shared" si="5"/>
        <v>0.16418137116072126</v>
      </c>
      <c r="K15" s="20">
        <f t="shared" si="6"/>
        <v>0.21860312602470217</v>
      </c>
    </row>
    <row r="16" spans="1:11" s="1" customFormat="1" ht="16.5" customHeight="1" thickBot="1">
      <c r="A16" s="105" t="s">
        <v>15</v>
      </c>
      <c r="B16" s="100" t="s">
        <v>27</v>
      </c>
      <c r="C16" s="106">
        <v>6</v>
      </c>
      <c r="D16" s="107">
        <f t="shared" si="0"/>
        <v>0.16339869281045752</v>
      </c>
      <c r="E16" s="108">
        <f t="shared" si="1"/>
        <v>0.18879798615481436</v>
      </c>
      <c r="F16" s="84">
        <v>760</v>
      </c>
      <c r="G16" s="107">
        <f t="shared" si="2"/>
        <v>3.6730413265478727</v>
      </c>
      <c r="H16" s="108">
        <f t="shared" si="3"/>
        <v>5.026455026455026</v>
      </c>
      <c r="I16" s="135">
        <f t="shared" si="4"/>
        <v>766</v>
      </c>
      <c r="J16" s="107">
        <f t="shared" si="5"/>
        <v>3.144073257727812</v>
      </c>
      <c r="K16" s="109">
        <f t="shared" si="6"/>
        <v>4.186249863373046</v>
      </c>
    </row>
    <row r="17" spans="1:11" s="6" customFormat="1" ht="18" customHeight="1" thickBot="1">
      <c r="A17" s="110" t="s">
        <v>16</v>
      </c>
      <c r="B17" s="92" t="s">
        <v>45</v>
      </c>
      <c r="C17" s="93"/>
      <c r="D17" s="94">
        <f t="shared" si="0"/>
        <v>0</v>
      </c>
      <c r="E17" s="95">
        <f t="shared" si="1"/>
        <v>0</v>
      </c>
      <c r="F17" s="85">
        <v>0</v>
      </c>
      <c r="G17" s="94">
        <f t="shared" si="2"/>
        <v>0</v>
      </c>
      <c r="H17" s="95">
        <f t="shared" si="3"/>
        <v>0</v>
      </c>
      <c r="I17" s="145">
        <f t="shared" si="4"/>
        <v>0</v>
      </c>
      <c r="J17" s="94">
        <f t="shared" si="5"/>
        <v>0</v>
      </c>
      <c r="K17" s="97">
        <f t="shared" si="6"/>
        <v>0</v>
      </c>
    </row>
    <row r="18" spans="1:11" s="6" customFormat="1" ht="18" customHeight="1" thickBot="1">
      <c r="A18" s="99" t="s">
        <v>17</v>
      </c>
      <c r="B18" s="156" t="s">
        <v>46</v>
      </c>
      <c r="C18" s="93">
        <v>15</v>
      </c>
      <c r="D18" s="157">
        <f t="shared" si="0"/>
        <v>0.4084967320261438</v>
      </c>
      <c r="E18" s="95">
        <f t="shared" si="1"/>
        <v>0.4719949653870359</v>
      </c>
      <c r="F18" s="84">
        <v>4046</v>
      </c>
      <c r="G18" s="157">
        <f t="shared" si="2"/>
        <v>19.554112114753543</v>
      </c>
      <c r="H18" s="95">
        <f t="shared" si="3"/>
        <v>26.75925925925926</v>
      </c>
      <c r="I18" s="164">
        <f t="shared" si="4"/>
        <v>4061</v>
      </c>
      <c r="J18" s="157">
        <f t="shared" si="5"/>
        <v>16.668513707092224</v>
      </c>
      <c r="K18" s="158">
        <f t="shared" si="6"/>
        <v>22.193682369657886</v>
      </c>
    </row>
    <row r="19" spans="1:11" s="1" customFormat="1" ht="14.25" customHeight="1">
      <c r="A19" s="4"/>
      <c r="B19" s="38" t="s">
        <v>47</v>
      </c>
      <c r="C19" s="115"/>
      <c r="D19" s="12">
        <f t="shared" si="0"/>
        <v>0</v>
      </c>
      <c r="E19" s="31">
        <f t="shared" si="1"/>
        <v>0</v>
      </c>
      <c r="F19" s="87">
        <v>10</v>
      </c>
      <c r="G19" s="12">
        <f t="shared" si="2"/>
        <v>0.0483294911387878</v>
      </c>
      <c r="H19" s="31">
        <f t="shared" si="3"/>
        <v>0.06613756613756613</v>
      </c>
      <c r="I19" s="132">
        <f t="shared" si="4"/>
        <v>10</v>
      </c>
      <c r="J19" s="12">
        <f t="shared" si="5"/>
        <v>0.041045342790180316</v>
      </c>
      <c r="K19" s="13">
        <f t="shared" si="6"/>
        <v>0.05465078150617554</v>
      </c>
    </row>
    <row r="20" spans="1:11" s="1" customFormat="1" ht="14.25" customHeight="1">
      <c r="A20" s="4"/>
      <c r="B20" s="38" t="s">
        <v>48</v>
      </c>
      <c r="C20" s="86"/>
      <c r="D20" s="12">
        <f t="shared" si="0"/>
        <v>0</v>
      </c>
      <c r="E20" s="32">
        <f t="shared" si="1"/>
        <v>0</v>
      </c>
      <c r="F20" s="86">
        <v>1097</v>
      </c>
      <c r="G20" s="12">
        <f t="shared" si="2"/>
        <v>5.301745177925022</v>
      </c>
      <c r="H20" s="32">
        <f t="shared" si="3"/>
        <v>7.255291005291006</v>
      </c>
      <c r="I20" s="132">
        <f t="shared" si="4"/>
        <v>1097</v>
      </c>
      <c r="J20" s="12">
        <f t="shared" si="5"/>
        <v>4.5026741040827805</v>
      </c>
      <c r="K20" s="13">
        <f t="shared" si="6"/>
        <v>5.995190731227456</v>
      </c>
    </row>
    <row r="21" spans="1:11" s="1" customFormat="1" ht="14.25" customHeight="1" thickBot="1">
      <c r="A21" s="4"/>
      <c r="B21" s="38" t="s">
        <v>49</v>
      </c>
      <c r="C21" s="86"/>
      <c r="D21" s="12">
        <f t="shared" si="0"/>
        <v>0</v>
      </c>
      <c r="E21" s="32">
        <f t="shared" si="1"/>
        <v>0</v>
      </c>
      <c r="F21" s="117">
        <v>473</v>
      </c>
      <c r="G21" s="12">
        <f t="shared" si="2"/>
        <v>2.285984930864663</v>
      </c>
      <c r="H21" s="32">
        <f t="shared" si="3"/>
        <v>3.128306878306878</v>
      </c>
      <c r="I21" s="132">
        <f t="shared" si="4"/>
        <v>473</v>
      </c>
      <c r="J21" s="12">
        <f t="shared" si="5"/>
        <v>1.9414447139755289</v>
      </c>
      <c r="K21" s="13">
        <f t="shared" si="6"/>
        <v>2.584981965242103</v>
      </c>
    </row>
    <row r="22" spans="1:11" s="6" customFormat="1" ht="15.75" customHeight="1" thickBot="1">
      <c r="A22" s="99" t="s">
        <v>28</v>
      </c>
      <c r="B22" s="92" t="s">
        <v>50</v>
      </c>
      <c r="C22" s="93">
        <v>1476</v>
      </c>
      <c r="D22" s="94">
        <f t="shared" si="0"/>
        <v>40.19607843137255</v>
      </c>
      <c r="E22" s="95">
        <f t="shared" si="1"/>
        <v>46.44430459408433</v>
      </c>
      <c r="F22" s="84">
        <v>687</v>
      </c>
      <c r="G22" s="94">
        <f t="shared" si="2"/>
        <v>3.320236041234722</v>
      </c>
      <c r="H22" s="95">
        <f t="shared" si="3"/>
        <v>4.5436507936507935</v>
      </c>
      <c r="I22" s="145">
        <f t="shared" si="4"/>
        <v>2163</v>
      </c>
      <c r="J22" s="94">
        <f t="shared" si="5"/>
        <v>8.878107645516002</v>
      </c>
      <c r="K22" s="97">
        <f t="shared" si="6"/>
        <v>11.82096403978577</v>
      </c>
    </row>
    <row r="23" spans="1:11" s="1" customFormat="1" ht="15.75" customHeight="1">
      <c r="A23" s="4"/>
      <c r="B23" s="40" t="s">
        <v>51</v>
      </c>
      <c r="C23" s="115">
        <v>234</v>
      </c>
      <c r="D23" s="18">
        <f t="shared" si="0"/>
        <v>6.372549019607843</v>
      </c>
      <c r="E23" s="31">
        <f t="shared" si="1"/>
        <v>7.3631214600377595</v>
      </c>
      <c r="F23" s="87">
        <v>0</v>
      </c>
      <c r="G23" s="18">
        <f t="shared" si="2"/>
        <v>0</v>
      </c>
      <c r="H23" s="31">
        <f t="shared" si="3"/>
        <v>0</v>
      </c>
      <c r="I23" s="138">
        <f t="shared" si="4"/>
        <v>234</v>
      </c>
      <c r="J23" s="18">
        <f t="shared" si="5"/>
        <v>0.9604610212902193</v>
      </c>
      <c r="K23" s="19">
        <f t="shared" si="6"/>
        <v>1.2788282872445076</v>
      </c>
    </row>
    <row r="24" spans="1:11" s="1" customFormat="1" ht="14.25" customHeight="1">
      <c r="A24" s="4"/>
      <c r="B24" s="38" t="s">
        <v>52</v>
      </c>
      <c r="C24" s="116">
        <v>761</v>
      </c>
      <c r="D24" s="12">
        <f t="shared" si="0"/>
        <v>20.724400871459697</v>
      </c>
      <c r="E24" s="32">
        <f t="shared" si="1"/>
        <v>23.94587791063562</v>
      </c>
      <c r="F24" s="86">
        <v>337</v>
      </c>
      <c r="G24" s="12">
        <f t="shared" si="2"/>
        <v>1.6287038513771488</v>
      </c>
      <c r="H24" s="32">
        <f t="shared" si="3"/>
        <v>2.2288359788359786</v>
      </c>
      <c r="I24" s="132">
        <f t="shared" si="4"/>
        <v>1098</v>
      </c>
      <c r="J24" s="12">
        <f t="shared" si="5"/>
        <v>4.506778638361799</v>
      </c>
      <c r="K24" s="13">
        <f t="shared" si="6"/>
        <v>6.000655809378074</v>
      </c>
    </row>
    <row r="25" spans="1:11" s="1" customFormat="1" ht="15.75" customHeight="1">
      <c r="A25" s="4"/>
      <c r="B25" s="38" t="s">
        <v>85</v>
      </c>
      <c r="C25" s="116"/>
      <c r="D25" s="12">
        <f t="shared" si="0"/>
        <v>0</v>
      </c>
      <c r="E25" s="32">
        <f t="shared" si="1"/>
        <v>0</v>
      </c>
      <c r="F25" s="86">
        <v>136</v>
      </c>
      <c r="G25" s="12">
        <f t="shared" si="2"/>
        <v>0.6572810794875141</v>
      </c>
      <c r="H25" s="32">
        <f t="shared" si="3"/>
        <v>0.8994708994708994</v>
      </c>
      <c r="I25" s="132">
        <f t="shared" si="4"/>
        <v>136</v>
      </c>
      <c r="J25" s="12">
        <f t="shared" si="5"/>
        <v>0.5582166619464523</v>
      </c>
      <c r="K25" s="13">
        <f t="shared" si="6"/>
        <v>0.7432506284839874</v>
      </c>
    </row>
    <row r="26" spans="1:11" s="1" customFormat="1" ht="15.75" customHeight="1" thickBot="1">
      <c r="A26" s="4"/>
      <c r="B26" s="38" t="s">
        <v>86</v>
      </c>
      <c r="C26" s="116">
        <v>26</v>
      </c>
      <c r="D26" s="12">
        <f t="shared" si="0"/>
        <v>0.7080610021786492</v>
      </c>
      <c r="E26" s="32">
        <f t="shared" si="1"/>
        <v>0.8181246066708622</v>
      </c>
      <c r="F26" s="117">
        <v>13</v>
      </c>
      <c r="G26" s="12">
        <f t="shared" si="2"/>
        <v>0.06282833848042414</v>
      </c>
      <c r="H26" s="32">
        <f t="shared" si="3"/>
        <v>0.08597883597883597</v>
      </c>
      <c r="I26" s="132">
        <f t="shared" si="4"/>
        <v>39</v>
      </c>
      <c r="J26" s="12">
        <f t="shared" si="5"/>
        <v>0.1600768368817032</v>
      </c>
      <c r="K26" s="13">
        <f t="shared" si="6"/>
        <v>0.2131380478740846</v>
      </c>
    </row>
    <row r="27" spans="1:11" s="6" customFormat="1" ht="14.25" customHeight="1" thickBot="1">
      <c r="A27" s="99" t="s">
        <v>18</v>
      </c>
      <c r="B27" s="92" t="s">
        <v>53</v>
      </c>
      <c r="C27" s="93">
        <v>202</v>
      </c>
      <c r="D27" s="94">
        <f t="shared" si="0"/>
        <v>5.501089324618737</v>
      </c>
      <c r="E27" s="95">
        <f t="shared" si="1"/>
        <v>6.3561988672120835</v>
      </c>
      <c r="F27" s="84">
        <v>1969</v>
      </c>
      <c r="G27" s="94">
        <f t="shared" si="2"/>
        <v>9.516076805227318</v>
      </c>
      <c r="H27" s="95">
        <f t="shared" si="3"/>
        <v>13.022486772486772</v>
      </c>
      <c r="I27" s="145">
        <f t="shared" si="4"/>
        <v>2171</v>
      </c>
      <c r="J27" s="94">
        <f t="shared" si="5"/>
        <v>8.910943919748146</v>
      </c>
      <c r="K27" s="97">
        <f t="shared" si="6"/>
        <v>11.86468466499071</v>
      </c>
    </row>
    <row r="28" spans="1:11" s="1" customFormat="1" ht="12.75">
      <c r="A28" s="4"/>
      <c r="B28" s="40" t="s">
        <v>54</v>
      </c>
      <c r="C28" s="115"/>
      <c r="D28" s="18">
        <f t="shared" si="0"/>
        <v>0</v>
      </c>
      <c r="E28" s="31">
        <f t="shared" si="1"/>
        <v>0</v>
      </c>
      <c r="F28" s="87">
        <v>181</v>
      </c>
      <c r="G28" s="18">
        <f>F28*1000/$G$2</f>
        <v>0.8747637896120591</v>
      </c>
      <c r="H28" s="31">
        <f t="shared" si="3"/>
        <v>1.197089947089947</v>
      </c>
      <c r="I28" s="138">
        <f t="shared" si="4"/>
        <v>181</v>
      </c>
      <c r="J28" s="18">
        <f t="shared" si="5"/>
        <v>0.7429207045022637</v>
      </c>
      <c r="K28" s="19">
        <f t="shared" si="6"/>
        <v>0.9891791452617772</v>
      </c>
    </row>
    <row r="29" spans="1:11" s="1" customFormat="1" ht="13.5" customHeight="1">
      <c r="A29" s="4"/>
      <c r="B29" s="38" t="s">
        <v>55</v>
      </c>
      <c r="C29" s="116">
        <v>63</v>
      </c>
      <c r="D29" s="12">
        <f t="shared" si="0"/>
        <v>1.7156862745098038</v>
      </c>
      <c r="E29" s="32">
        <f t="shared" si="1"/>
        <v>1.9823788546255507</v>
      </c>
      <c r="F29" s="86">
        <v>35</v>
      </c>
      <c r="G29" s="12">
        <f t="shared" si="2"/>
        <v>0.1691532189857573</v>
      </c>
      <c r="H29" s="32">
        <f t="shared" si="3"/>
        <v>0.23148148148148148</v>
      </c>
      <c r="I29" s="132">
        <f t="shared" si="4"/>
        <v>98</v>
      </c>
      <c r="J29" s="12">
        <f t="shared" si="5"/>
        <v>0.40224435934376707</v>
      </c>
      <c r="K29" s="13">
        <f t="shared" si="6"/>
        <v>0.5355776587605203</v>
      </c>
    </row>
    <row r="30" spans="1:11" s="1" customFormat="1" ht="12.75">
      <c r="A30" s="4"/>
      <c r="B30" s="38" t="s">
        <v>56</v>
      </c>
      <c r="C30" s="116">
        <v>26</v>
      </c>
      <c r="D30" s="12">
        <f t="shared" si="0"/>
        <v>0.7080610021786492</v>
      </c>
      <c r="E30" s="32">
        <f t="shared" si="1"/>
        <v>0.8181246066708622</v>
      </c>
      <c r="F30" s="88">
        <v>291</v>
      </c>
      <c r="G30" s="12">
        <f t="shared" si="2"/>
        <v>1.406388192138725</v>
      </c>
      <c r="H30" s="32">
        <f t="shared" si="3"/>
        <v>1.9246031746031746</v>
      </c>
      <c r="I30" s="132">
        <f t="shared" si="4"/>
        <v>317</v>
      </c>
      <c r="J30" s="12">
        <f t="shared" si="5"/>
        <v>1.3011373664487158</v>
      </c>
      <c r="K30" s="13">
        <f t="shared" si="6"/>
        <v>1.7324297737457646</v>
      </c>
    </row>
    <row r="31" spans="1:11" s="1" customFormat="1" ht="16.5" customHeight="1" thickBot="1">
      <c r="A31" s="5"/>
      <c r="B31" s="38" t="s">
        <v>57</v>
      </c>
      <c r="C31" s="116">
        <v>1</v>
      </c>
      <c r="D31" s="12">
        <f t="shared" si="0"/>
        <v>0.027233115468409588</v>
      </c>
      <c r="E31" s="32">
        <f t="shared" si="1"/>
        <v>0.03146633102580239</v>
      </c>
      <c r="F31" s="89">
        <v>212</v>
      </c>
      <c r="G31" s="12">
        <f t="shared" si="2"/>
        <v>1.0245852121423014</v>
      </c>
      <c r="H31" s="32">
        <f t="shared" si="3"/>
        <v>1.402116402116402</v>
      </c>
      <c r="I31" s="132">
        <f t="shared" si="4"/>
        <v>213</v>
      </c>
      <c r="J31" s="12">
        <f t="shared" si="5"/>
        <v>0.8742658014308406</v>
      </c>
      <c r="K31" s="13">
        <f t="shared" si="6"/>
        <v>1.164061646081539</v>
      </c>
    </row>
    <row r="32" spans="1:11" s="1" customFormat="1" ht="16.5" customHeight="1" thickBot="1">
      <c r="A32" s="99" t="s">
        <v>75</v>
      </c>
      <c r="B32" s="92" t="s">
        <v>61</v>
      </c>
      <c r="C32" s="93">
        <v>51</v>
      </c>
      <c r="D32" s="94">
        <f t="shared" si="0"/>
        <v>1.3888888888888888</v>
      </c>
      <c r="E32" s="95">
        <f t="shared" si="1"/>
        <v>1.604782882315922</v>
      </c>
      <c r="F32" s="84">
        <v>389</v>
      </c>
      <c r="G32" s="94">
        <f>F32*1000/$G$2</f>
        <v>1.8800172052988453</v>
      </c>
      <c r="H32" s="95">
        <f t="shared" si="3"/>
        <v>2.572751322751323</v>
      </c>
      <c r="I32" s="145">
        <f>SUM(C32,F32)</f>
        <v>440</v>
      </c>
      <c r="J32" s="94">
        <f>I32*1000/$J$2</f>
        <v>1.8059950827679336</v>
      </c>
      <c r="K32" s="97">
        <f t="shared" si="6"/>
        <v>2.4046343862717237</v>
      </c>
    </row>
    <row r="33" spans="1:11" s="1" customFormat="1" ht="26.25" thickBot="1">
      <c r="A33" s="99" t="s">
        <v>76</v>
      </c>
      <c r="B33" s="92" t="s">
        <v>62</v>
      </c>
      <c r="C33" s="93">
        <v>21</v>
      </c>
      <c r="D33" s="94">
        <f t="shared" si="0"/>
        <v>0.5718954248366013</v>
      </c>
      <c r="E33" s="95">
        <f t="shared" si="1"/>
        <v>0.6607929515418502</v>
      </c>
      <c r="F33" s="84">
        <v>628</v>
      </c>
      <c r="G33" s="94">
        <f>F33*1000/$G$2</f>
        <v>3.0350920435158737</v>
      </c>
      <c r="H33" s="95">
        <f t="shared" si="3"/>
        <v>4.1534391534391535</v>
      </c>
      <c r="I33" s="145">
        <f>SUM(C33,F33)</f>
        <v>649</v>
      </c>
      <c r="J33" s="94">
        <f>I33*1000/$J$2</f>
        <v>2.663842747082702</v>
      </c>
      <c r="K33" s="97">
        <f t="shared" si="6"/>
        <v>3.5468357197507925</v>
      </c>
    </row>
    <row r="34" spans="1:11" s="6" customFormat="1" ht="21" customHeight="1" thickBot="1">
      <c r="A34" s="99" t="s">
        <v>19</v>
      </c>
      <c r="B34" s="92" t="s">
        <v>58</v>
      </c>
      <c r="C34" s="93">
        <v>172</v>
      </c>
      <c r="D34" s="94">
        <f t="shared" si="0"/>
        <v>4.684095860566448</v>
      </c>
      <c r="E34" s="95">
        <f t="shared" si="1"/>
        <v>5.412208936438011</v>
      </c>
      <c r="F34" s="84">
        <v>1041</v>
      </c>
      <c r="G34" s="94">
        <f t="shared" si="2"/>
        <v>5.03110002754781</v>
      </c>
      <c r="H34" s="95">
        <f t="shared" si="3"/>
        <v>6.884920634920635</v>
      </c>
      <c r="I34" s="145">
        <f t="shared" si="4"/>
        <v>1213</v>
      </c>
      <c r="J34" s="94">
        <f t="shared" si="5"/>
        <v>4.978800080448872</v>
      </c>
      <c r="K34" s="97">
        <f t="shared" si="6"/>
        <v>6.629139796699093</v>
      </c>
    </row>
    <row r="35" spans="1:11" s="1" customFormat="1" ht="12.75">
      <c r="A35" s="4"/>
      <c r="B35" s="40" t="s">
        <v>59</v>
      </c>
      <c r="C35" s="115">
        <v>86</v>
      </c>
      <c r="D35" s="25">
        <f t="shared" si="0"/>
        <v>2.342047930283224</v>
      </c>
      <c r="E35" s="36">
        <f t="shared" si="1"/>
        <v>2.7061044682190056</v>
      </c>
      <c r="F35" s="87">
        <v>722</v>
      </c>
      <c r="G35" s="25">
        <f t="shared" si="2"/>
        <v>3.489389260220479</v>
      </c>
      <c r="H35" s="36">
        <f t="shared" si="3"/>
        <v>4.775132275132275</v>
      </c>
      <c r="I35" s="138">
        <f t="shared" si="4"/>
        <v>808</v>
      </c>
      <c r="J35" s="25">
        <f t="shared" si="5"/>
        <v>3.316463697446569</v>
      </c>
      <c r="K35" s="26">
        <f t="shared" si="6"/>
        <v>4.415783145698984</v>
      </c>
    </row>
    <row r="36" spans="1:11" s="1" customFormat="1" ht="13.5" customHeight="1">
      <c r="A36" s="4"/>
      <c r="B36" s="43" t="s">
        <v>31</v>
      </c>
      <c r="C36" s="116">
        <v>86</v>
      </c>
      <c r="D36" s="27">
        <f t="shared" si="0"/>
        <v>2.342047930283224</v>
      </c>
      <c r="E36" s="37">
        <f t="shared" si="1"/>
        <v>2.7061044682190056</v>
      </c>
      <c r="F36" s="86">
        <v>247</v>
      </c>
      <c r="G36" s="27">
        <f t="shared" si="2"/>
        <v>1.1937384311280586</v>
      </c>
      <c r="H36" s="37">
        <f t="shared" si="3"/>
        <v>1.6335978835978835</v>
      </c>
      <c r="I36" s="132">
        <f t="shared" si="4"/>
        <v>333</v>
      </c>
      <c r="J36" s="27">
        <f t="shared" si="5"/>
        <v>1.3668099149130044</v>
      </c>
      <c r="K36" s="28">
        <f t="shared" si="6"/>
        <v>1.8198710241556455</v>
      </c>
    </row>
    <row r="37" spans="1:11" s="1" customFormat="1" ht="12" customHeight="1" thickBot="1">
      <c r="A37" s="16"/>
      <c r="B37" s="38" t="s">
        <v>84</v>
      </c>
      <c r="C37" s="116"/>
      <c r="D37" s="27">
        <f t="shared" si="0"/>
        <v>0</v>
      </c>
      <c r="E37" s="37">
        <f t="shared" si="1"/>
        <v>0</v>
      </c>
      <c r="F37" s="118">
        <v>213</v>
      </c>
      <c r="G37" s="27">
        <f t="shared" si="2"/>
        <v>1.0294181612561801</v>
      </c>
      <c r="H37" s="37">
        <f t="shared" si="3"/>
        <v>1.4087301587301588</v>
      </c>
      <c r="I37" s="132">
        <f t="shared" si="4"/>
        <v>213</v>
      </c>
      <c r="J37" s="27">
        <f t="shared" si="5"/>
        <v>0.8742658014308406</v>
      </c>
      <c r="K37" s="28">
        <f t="shared" si="6"/>
        <v>1.164061646081539</v>
      </c>
    </row>
    <row r="38" spans="1:11" s="6" customFormat="1" ht="21" customHeight="1" thickBot="1">
      <c r="A38" s="99" t="s">
        <v>20</v>
      </c>
      <c r="B38" s="92" t="s">
        <v>32</v>
      </c>
      <c r="C38" s="93">
        <v>87</v>
      </c>
      <c r="D38" s="94">
        <f t="shared" si="0"/>
        <v>2.369281045751634</v>
      </c>
      <c r="E38" s="95">
        <f t="shared" si="1"/>
        <v>2.737570799244808</v>
      </c>
      <c r="F38" s="84">
        <v>1629</v>
      </c>
      <c r="G38" s="94">
        <f t="shared" si="2"/>
        <v>7.872874106508532</v>
      </c>
      <c r="H38" s="95">
        <f t="shared" si="3"/>
        <v>10.773809523809524</v>
      </c>
      <c r="I38" s="145">
        <f t="shared" si="4"/>
        <v>1716</v>
      </c>
      <c r="J38" s="94">
        <f t="shared" si="5"/>
        <v>7.0433808227949415</v>
      </c>
      <c r="K38" s="113">
        <f t="shared" si="6"/>
        <v>9.378074106459723</v>
      </c>
    </row>
    <row r="39" spans="1:11" s="1" customFormat="1" ht="12.75">
      <c r="A39" s="4"/>
      <c r="B39" s="40" t="s">
        <v>60</v>
      </c>
      <c r="C39" s="115">
        <v>17</v>
      </c>
      <c r="D39" s="18">
        <f t="shared" si="0"/>
        <v>0.46296296296296297</v>
      </c>
      <c r="E39" s="31">
        <f t="shared" si="1"/>
        <v>0.5349276274386406</v>
      </c>
      <c r="F39" s="87">
        <v>240</v>
      </c>
      <c r="G39" s="18">
        <f t="shared" si="2"/>
        <v>1.1599077873309072</v>
      </c>
      <c r="H39" s="31">
        <f t="shared" si="3"/>
        <v>1.5873015873015872</v>
      </c>
      <c r="I39" s="138">
        <f t="shared" si="4"/>
        <v>257</v>
      </c>
      <c r="J39" s="18">
        <f t="shared" si="5"/>
        <v>1.054865309707634</v>
      </c>
      <c r="K39" s="19">
        <f t="shared" si="6"/>
        <v>1.4045250847087114</v>
      </c>
    </row>
    <row r="40" spans="1:11" s="1" customFormat="1" ht="12.75">
      <c r="A40" s="4"/>
      <c r="B40" s="38" t="s">
        <v>34</v>
      </c>
      <c r="C40" s="116">
        <v>3</v>
      </c>
      <c r="D40" s="12">
        <f t="shared" si="0"/>
        <v>0.08169934640522876</v>
      </c>
      <c r="E40" s="32">
        <f t="shared" si="1"/>
        <v>0.09439899307740718</v>
      </c>
      <c r="F40" s="86">
        <v>139</v>
      </c>
      <c r="G40" s="12">
        <f t="shared" si="2"/>
        <v>0.6717799268291504</v>
      </c>
      <c r="H40" s="32">
        <f t="shared" si="3"/>
        <v>0.9193121693121693</v>
      </c>
      <c r="I40" s="132">
        <f t="shared" si="4"/>
        <v>142</v>
      </c>
      <c r="J40" s="12">
        <f t="shared" si="5"/>
        <v>0.5828438676205604</v>
      </c>
      <c r="K40" s="13">
        <f t="shared" si="6"/>
        <v>0.7760410973876927</v>
      </c>
    </row>
    <row r="41" spans="1:11" s="1" customFormat="1" ht="12.75">
      <c r="A41" s="4"/>
      <c r="B41" s="38" t="s">
        <v>25</v>
      </c>
      <c r="C41" s="116"/>
      <c r="D41" s="12">
        <f t="shared" si="0"/>
        <v>0</v>
      </c>
      <c r="E41" s="32">
        <f t="shared" si="1"/>
        <v>0</v>
      </c>
      <c r="F41" s="86">
        <v>15</v>
      </c>
      <c r="G41" s="12">
        <f t="shared" si="2"/>
        <v>0.0724942367081817</v>
      </c>
      <c r="H41" s="32">
        <f t="shared" si="3"/>
        <v>0.0992063492063492</v>
      </c>
      <c r="I41" s="132">
        <f t="shared" si="4"/>
        <v>15</v>
      </c>
      <c r="J41" s="12">
        <f t="shared" si="5"/>
        <v>0.06156801418527047</v>
      </c>
      <c r="K41" s="13">
        <f t="shared" si="6"/>
        <v>0.0819761722592633</v>
      </c>
    </row>
    <row r="42" spans="1:11" s="1" customFormat="1" ht="13.5" thickBot="1">
      <c r="A42" s="5"/>
      <c r="B42" s="38" t="s">
        <v>35</v>
      </c>
      <c r="C42" s="116">
        <v>29</v>
      </c>
      <c r="D42" s="12">
        <f t="shared" si="0"/>
        <v>0.789760348583878</v>
      </c>
      <c r="E42" s="32">
        <f t="shared" si="1"/>
        <v>0.9125235997482694</v>
      </c>
      <c r="F42" s="117">
        <v>614</v>
      </c>
      <c r="G42" s="12">
        <f t="shared" si="2"/>
        <v>2.967430755921571</v>
      </c>
      <c r="H42" s="32">
        <f t="shared" si="3"/>
        <v>4.060846560846561</v>
      </c>
      <c r="I42" s="132">
        <f t="shared" si="4"/>
        <v>643</v>
      </c>
      <c r="J42" s="12">
        <f t="shared" si="5"/>
        <v>2.639215541408594</v>
      </c>
      <c r="K42" s="13">
        <f t="shared" si="6"/>
        <v>3.514045250847087</v>
      </c>
    </row>
    <row r="43" spans="1:11" s="6" customFormat="1" ht="23.25" customHeight="1" thickBot="1">
      <c r="A43" s="99" t="s">
        <v>21</v>
      </c>
      <c r="B43" s="92" t="s">
        <v>64</v>
      </c>
      <c r="C43" s="93">
        <v>246</v>
      </c>
      <c r="D43" s="94">
        <f t="shared" si="0"/>
        <v>6.699346405228758</v>
      </c>
      <c r="E43" s="95">
        <f t="shared" si="1"/>
        <v>7.740717432347388</v>
      </c>
      <c r="F43" s="84">
        <v>0</v>
      </c>
      <c r="G43" s="94">
        <f t="shared" si="2"/>
        <v>0</v>
      </c>
      <c r="H43" s="95">
        <f t="shared" si="3"/>
        <v>0</v>
      </c>
      <c r="I43" s="145">
        <f t="shared" si="4"/>
        <v>246</v>
      </c>
      <c r="J43" s="94">
        <f t="shared" si="5"/>
        <v>1.0097154326384357</v>
      </c>
      <c r="K43" s="113">
        <f t="shared" si="6"/>
        <v>1.3444092250519182</v>
      </c>
    </row>
    <row r="44" spans="1:11" s="1" customFormat="1" ht="33.75" customHeight="1" thickBot="1">
      <c r="A44" s="9"/>
      <c r="B44" s="161" t="s">
        <v>81</v>
      </c>
      <c r="C44" s="115">
        <v>10</v>
      </c>
      <c r="D44" s="18">
        <f t="shared" si="0"/>
        <v>0.27233115468409586</v>
      </c>
      <c r="E44" s="31">
        <f t="shared" si="1"/>
        <v>0.3146633102580239</v>
      </c>
      <c r="F44" s="121">
        <v>0</v>
      </c>
      <c r="G44" s="18">
        <f t="shared" si="2"/>
        <v>0</v>
      </c>
      <c r="H44" s="31">
        <f t="shared" si="3"/>
        <v>0</v>
      </c>
      <c r="I44" s="138">
        <f t="shared" si="4"/>
        <v>10</v>
      </c>
      <c r="J44" s="18">
        <f t="shared" si="5"/>
        <v>0.041045342790180316</v>
      </c>
      <c r="K44" s="19">
        <f t="shared" si="6"/>
        <v>0.05465078150617554</v>
      </c>
    </row>
    <row r="45" spans="1:11" s="1" customFormat="1" ht="16.5" customHeight="1" thickBot="1">
      <c r="A45" s="4"/>
      <c r="B45" s="159" t="s">
        <v>79</v>
      </c>
      <c r="C45" s="116">
        <v>18</v>
      </c>
      <c r="D45" s="12">
        <f t="shared" si="0"/>
        <v>0.49019607843137253</v>
      </c>
      <c r="E45" s="32">
        <f t="shared" si="1"/>
        <v>0.5663939584644431</v>
      </c>
      <c r="F45" s="122">
        <v>0</v>
      </c>
      <c r="G45" s="12">
        <f t="shared" si="2"/>
        <v>0</v>
      </c>
      <c r="H45" s="32">
        <f t="shared" si="3"/>
        <v>0</v>
      </c>
      <c r="I45" s="132">
        <f t="shared" si="4"/>
        <v>18</v>
      </c>
      <c r="J45" s="12">
        <f t="shared" si="5"/>
        <v>0.07388161702232456</v>
      </c>
      <c r="K45" s="13">
        <f t="shared" si="6"/>
        <v>0.09837140671111597</v>
      </c>
    </row>
    <row r="46" spans="1:11" s="1" customFormat="1" ht="18" customHeight="1" thickBot="1">
      <c r="A46" s="99" t="s">
        <v>77</v>
      </c>
      <c r="B46" s="92" t="s">
        <v>63</v>
      </c>
      <c r="C46" s="93">
        <v>5</v>
      </c>
      <c r="D46" s="94">
        <f t="shared" si="0"/>
        <v>0.13616557734204793</v>
      </c>
      <c r="E46" s="95">
        <f t="shared" si="1"/>
        <v>0.15733165512901195</v>
      </c>
      <c r="F46" s="84">
        <v>2</v>
      </c>
      <c r="G46" s="94">
        <f>F46*1000/$G$2</f>
        <v>0.00966589822775756</v>
      </c>
      <c r="H46" s="95">
        <f t="shared" si="3"/>
        <v>0.013227513227513227</v>
      </c>
      <c r="I46" s="145">
        <f>SUM(C46,F46)</f>
        <v>7</v>
      </c>
      <c r="J46" s="94">
        <f>I46*1000/$J$2</f>
        <v>0.02873173995312622</v>
      </c>
      <c r="K46" s="97">
        <f t="shared" si="6"/>
        <v>0.03825554705432287</v>
      </c>
    </row>
    <row r="47" spans="1:11" s="6" customFormat="1" ht="21" customHeight="1" thickBot="1">
      <c r="A47" s="99" t="s">
        <v>29</v>
      </c>
      <c r="B47" s="92" t="s">
        <v>65</v>
      </c>
      <c r="C47" s="93">
        <v>18</v>
      </c>
      <c r="D47" s="94">
        <f t="shared" si="0"/>
        <v>0.49019607843137253</v>
      </c>
      <c r="E47" s="95">
        <f t="shared" si="1"/>
        <v>0.5663939584644431</v>
      </c>
      <c r="F47" s="84">
        <v>167</v>
      </c>
      <c r="G47" s="94">
        <f t="shared" si="2"/>
        <v>0.8071025020177562</v>
      </c>
      <c r="H47" s="95">
        <f t="shared" si="3"/>
        <v>1.1044973544973544</v>
      </c>
      <c r="I47" s="145">
        <f t="shared" si="4"/>
        <v>185</v>
      </c>
      <c r="J47" s="94">
        <f t="shared" si="5"/>
        <v>0.7593388416183358</v>
      </c>
      <c r="K47" s="97">
        <f t="shared" si="6"/>
        <v>1.0110394578642474</v>
      </c>
    </row>
    <row r="48" spans="1:11" s="6" customFormat="1" ht="19.5" customHeight="1" thickBot="1">
      <c r="A48" s="99" t="s">
        <v>30</v>
      </c>
      <c r="B48" s="92" t="s">
        <v>66</v>
      </c>
      <c r="C48" s="93">
        <v>480</v>
      </c>
      <c r="D48" s="94">
        <f t="shared" si="0"/>
        <v>13.071895424836601</v>
      </c>
      <c r="E48" s="95">
        <f t="shared" si="1"/>
        <v>15.103838892385149</v>
      </c>
      <c r="F48" s="84">
        <v>1452</v>
      </c>
      <c r="G48" s="94">
        <f t="shared" si="2"/>
        <v>7.017442113351988</v>
      </c>
      <c r="H48" s="95">
        <f t="shared" si="3"/>
        <v>9.603174603174603</v>
      </c>
      <c r="I48" s="145">
        <f t="shared" si="4"/>
        <v>1932</v>
      </c>
      <c r="J48" s="94">
        <f t="shared" si="5"/>
        <v>7.929960227062836</v>
      </c>
      <c r="K48" s="97">
        <f t="shared" si="6"/>
        <v>10.558530986993114</v>
      </c>
    </row>
    <row r="49" spans="1:11" s="1" customFormat="1" ht="12.75">
      <c r="A49" s="4"/>
      <c r="B49" s="40" t="s">
        <v>67</v>
      </c>
      <c r="C49" s="115">
        <v>102</v>
      </c>
      <c r="D49" s="18">
        <f t="shared" si="0"/>
        <v>2.7777777777777777</v>
      </c>
      <c r="E49" s="31">
        <f t="shared" si="1"/>
        <v>3.209565764631844</v>
      </c>
      <c r="F49" s="87">
        <v>321</v>
      </c>
      <c r="G49" s="18">
        <f t="shared" si="2"/>
        <v>1.5513766655550885</v>
      </c>
      <c r="H49" s="31">
        <f t="shared" si="3"/>
        <v>2.123015873015873</v>
      </c>
      <c r="I49" s="138">
        <f t="shared" si="4"/>
        <v>423</v>
      </c>
      <c r="J49" s="18">
        <f t="shared" si="5"/>
        <v>1.7362180000246272</v>
      </c>
      <c r="K49" s="19">
        <f t="shared" si="6"/>
        <v>2.311728057711225</v>
      </c>
    </row>
    <row r="50" spans="1:11" s="1" customFormat="1" ht="12.75">
      <c r="A50" s="4"/>
      <c r="B50" s="38" t="s">
        <v>71</v>
      </c>
      <c r="C50" s="116">
        <v>3</v>
      </c>
      <c r="D50" s="12">
        <f t="shared" si="0"/>
        <v>0.08169934640522876</v>
      </c>
      <c r="E50" s="32">
        <f t="shared" si="1"/>
        <v>0.09439899307740718</v>
      </c>
      <c r="F50" s="86">
        <v>7</v>
      </c>
      <c r="G50" s="12">
        <f t="shared" si="2"/>
        <v>0.033830643797151456</v>
      </c>
      <c r="H50" s="32">
        <f t="shared" si="3"/>
        <v>0.046296296296296294</v>
      </c>
      <c r="I50" s="132">
        <f t="shared" si="4"/>
        <v>10</v>
      </c>
      <c r="J50" s="12">
        <f t="shared" si="5"/>
        <v>0.041045342790180316</v>
      </c>
      <c r="K50" s="13">
        <f t="shared" si="6"/>
        <v>0.05465078150617554</v>
      </c>
    </row>
    <row r="51" spans="1:11" s="1" customFormat="1" ht="12.75">
      <c r="A51" s="4"/>
      <c r="B51" s="38" t="s">
        <v>68</v>
      </c>
      <c r="C51" s="116">
        <v>9</v>
      </c>
      <c r="D51" s="12">
        <f t="shared" si="0"/>
        <v>0.24509803921568626</v>
      </c>
      <c r="E51" s="32">
        <f t="shared" si="1"/>
        <v>0.28319697923222154</v>
      </c>
      <c r="F51" s="86">
        <v>101</v>
      </c>
      <c r="G51" s="12">
        <f t="shared" si="2"/>
        <v>0.48812786050175677</v>
      </c>
      <c r="H51" s="32">
        <f t="shared" si="3"/>
        <v>0.667989417989418</v>
      </c>
      <c r="I51" s="132">
        <f t="shared" si="4"/>
        <v>110</v>
      </c>
      <c r="J51" s="12">
        <f t="shared" si="5"/>
        <v>0.4514987706919834</v>
      </c>
      <c r="K51" s="13">
        <f t="shared" si="6"/>
        <v>0.6011585965679309</v>
      </c>
    </row>
    <row r="52" spans="1:11" s="1" customFormat="1" ht="12.75">
      <c r="A52" s="4"/>
      <c r="B52" s="38" t="s">
        <v>72</v>
      </c>
      <c r="C52" s="116"/>
      <c r="D52" s="12">
        <f t="shared" si="0"/>
        <v>0</v>
      </c>
      <c r="E52" s="32">
        <f t="shared" si="1"/>
        <v>0</v>
      </c>
      <c r="F52" s="86">
        <v>37</v>
      </c>
      <c r="G52" s="12">
        <f t="shared" si="2"/>
        <v>0.17881911721351487</v>
      </c>
      <c r="H52" s="32">
        <f t="shared" si="3"/>
        <v>0.2447089947089947</v>
      </c>
      <c r="I52" s="132">
        <f t="shared" si="4"/>
        <v>37</v>
      </c>
      <c r="J52" s="12">
        <f t="shared" si="5"/>
        <v>0.15186776832366716</v>
      </c>
      <c r="K52" s="13">
        <f t="shared" si="6"/>
        <v>0.2022078915728495</v>
      </c>
    </row>
    <row r="53" spans="1:11" s="1" customFormat="1" ht="12.75">
      <c r="A53" s="4"/>
      <c r="B53" s="38" t="s">
        <v>69</v>
      </c>
      <c r="C53" s="116">
        <v>101</v>
      </c>
      <c r="D53" s="12">
        <f t="shared" si="0"/>
        <v>2.7505446623093683</v>
      </c>
      <c r="E53" s="32">
        <f t="shared" si="1"/>
        <v>3.1780994336060417</v>
      </c>
      <c r="F53" s="86">
        <v>393</v>
      </c>
      <c r="G53" s="12">
        <f t="shared" si="2"/>
        <v>1.8993490017543606</v>
      </c>
      <c r="H53" s="32">
        <f t="shared" si="3"/>
        <v>2.5992063492063493</v>
      </c>
      <c r="I53" s="132">
        <f t="shared" si="4"/>
        <v>494</v>
      </c>
      <c r="J53" s="12">
        <f t="shared" si="5"/>
        <v>2.0276399338349074</v>
      </c>
      <c r="K53" s="13">
        <f t="shared" si="6"/>
        <v>2.6997486064050715</v>
      </c>
    </row>
    <row r="54" spans="1:11" s="1" customFormat="1" ht="12.75">
      <c r="A54" s="4"/>
      <c r="B54" s="38" t="s">
        <v>73</v>
      </c>
      <c r="C54" s="116">
        <v>92</v>
      </c>
      <c r="D54" s="12">
        <f t="shared" si="0"/>
        <v>2.505446623093682</v>
      </c>
      <c r="E54" s="32">
        <f t="shared" si="1"/>
        <v>2.89490245437382</v>
      </c>
      <c r="F54" s="86">
        <v>246</v>
      </c>
      <c r="G54" s="12">
        <f t="shared" si="2"/>
        <v>1.1889054820141798</v>
      </c>
      <c r="H54" s="32">
        <f t="shared" si="3"/>
        <v>1.626984126984127</v>
      </c>
      <c r="I54" s="132">
        <f t="shared" si="4"/>
        <v>338</v>
      </c>
      <c r="J54" s="12">
        <f t="shared" si="5"/>
        <v>1.3873325863080945</v>
      </c>
      <c r="K54" s="13">
        <f t="shared" si="6"/>
        <v>1.8471964149087332</v>
      </c>
    </row>
    <row r="55" spans="1:11" s="1" customFormat="1" ht="12.75">
      <c r="A55" s="4"/>
      <c r="B55" s="38" t="s">
        <v>70</v>
      </c>
      <c r="C55" s="116">
        <v>19</v>
      </c>
      <c r="D55" s="12">
        <f t="shared" si="0"/>
        <v>0.5174291938997821</v>
      </c>
      <c r="E55" s="32">
        <f t="shared" si="1"/>
        <v>0.5978602894902454</v>
      </c>
      <c r="F55" s="86">
        <v>453</v>
      </c>
      <c r="G55" s="12">
        <f t="shared" si="2"/>
        <v>2.1893259485870873</v>
      </c>
      <c r="H55" s="32">
        <f t="shared" si="3"/>
        <v>2.996031746031746</v>
      </c>
      <c r="I55" s="132">
        <f t="shared" si="4"/>
        <v>472</v>
      </c>
      <c r="J55" s="12">
        <f t="shared" si="5"/>
        <v>1.9373401796965108</v>
      </c>
      <c r="K55" s="13">
        <f t="shared" si="6"/>
        <v>2.5795168870914855</v>
      </c>
    </row>
    <row r="56" spans="1:11" s="1" customFormat="1" ht="12.75">
      <c r="A56" s="4"/>
      <c r="B56" s="38" t="s">
        <v>74</v>
      </c>
      <c r="C56" s="116">
        <v>14</v>
      </c>
      <c r="D56" s="12">
        <f t="shared" si="0"/>
        <v>0.3812636165577342</v>
      </c>
      <c r="E56" s="32">
        <f t="shared" si="1"/>
        <v>0.44052863436123346</v>
      </c>
      <c r="F56" s="86">
        <v>420</v>
      </c>
      <c r="G56" s="12">
        <f t="shared" si="2"/>
        <v>2.0298386278290876</v>
      </c>
      <c r="H56" s="32">
        <f t="shared" si="3"/>
        <v>2.7777777777777777</v>
      </c>
      <c r="I56" s="132">
        <f t="shared" si="4"/>
        <v>434</v>
      </c>
      <c r="J56" s="12">
        <f t="shared" si="5"/>
        <v>1.7813678770938255</v>
      </c>
      <c r="K56" s="13">
        <f t="shared" si="6"/>
        <v>2.3718439173680186</v>
      </c>
    </row>
    <row r="57" spans="1:11" s="1" customFormat="1" ht="13.5" thickBot="1">
      <c r="A57" s="4"/>
      <c r="B57" s="38" t="s">
        <v>33</v>
      </c>
      <c r="C57" s="123">
        <v>45</v>
      </c>
      <c r="D57" s="12">
        <f t="shared" si="0"/>
        <v>1.2254901960784315</v>
      </c>
      <c r="E57" s="32">
        <f>C57*100/C$58</f>
        <v>1.4159848961611077</v>
      </c>
      <c r="F57" s="88">
        <v>52</v>
      </c>
      <c r="G57" s="12">
        <f t="shared" si="2"/>
        <v>0.25131335392169657</v>
      </c>
      <c r="H57" s="32">
        <f>F57*100/F$58</f>
        <v>0.3439153439153439</v>
      </c>
      <c r="I57" s="132">
        <f t="shared" si="4"/>
        <v>97</v>
      </c>
      <c r="J57" s="12">
        <f t="shared" si="5"/>
        <v>0.39813982506474904</v>
      </c>
      <c r="K57" s="13">
        <f t="shared" si="6"/>
        <v>0.5301125806099027</v>
      </c>
    </row>
    <row r="58" spans="1:11" s="6" customFormat="1" ht="18.75" customHeight="1" thickBot="1">
      <c r="A58" s="160"/>
      <c r="B58" s="144" t="s">
        <v>22</v>
      </c>
      <c r="C58" s="148">
        <f>C48+C47+C46+C43+C38+C34+C33+C32+C27+C22+C18+C17+C16+C14+C13+C11+C10+C8+C5</f>
        <v>3178</v>
      </c>
      <c r="D58" s="214">
        <f t="shared" si="0"/>
        <v>86.54684095860567</v>
      </c>
      <c r="E58" s="95"/>
      <c r="F58" s="145">
        <f>F48+F47+F46+F43+F38+F34+F33+F32+F27+F22+F18+F17+F16+F14+F13+F11+F10+F8+F5</f>
        <v>15120</v>
      </c>
      <c r="G58" s="214">
        <f t="shared" si="2"/>
        <v>73.07419060184715</v>
      </c>
      <c r="H58" s="95"/>
      <c r="I58" s="145">
        <f>I48+I47+I46+I43+I38+I34+I33+I32+I27+I22+I18+I17+I16+I14+I13+I11+I10+I8+I5</f>
        <v>18298</v>
      </c>
      <c r="J58" s="214">
        <f t="shared" si="5"/>
        <v>75.10476823747193</v>
      </c>
      <c r="K58" s="97"/>
    </row>
    <row r="59" spans="1:11" s="6" customFormat="1" ht="22.5" customHeight="1">
      <c r="A59" s="15"/>
      <c r="B59" s="235" t="s">
        <v>23</v>
      </c>
      <c r="C59" s="235"/>
      <c r="D59" s="235"/>
      <c r="E59" s="235"/>
      <c r="F59" s="235"/>
      <c r="G59" s="235"/>
      <c r="H59" s="235"/>
      <c r="I59" s="236"/>
      <c r="J59" s="236"/>
      <c r="K59" s="236"/>
    </row>
  </sheetData>
  <sheetProtection/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6299212598425197" bottom="0.4724409448818898" header="0" footer="0"/>
  <pageSetup horizontalDpi="600" verticalDpi="600" orientation="landscape" paperSize="9" r:id="rId1"/>
  <headerFooter alignWithMargins="0">
    <oddFooter>&amp;L&amp;Z&amp;F*&amp;A&amp;R&amp;P -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75" zoomScaleNormal="75" zoomScalePageLayoutView="0" workbookViewId="0" topLeftCell="A1">
      <pane xSplit="1" ySplit="4" topLeftCell="B42" activePane="bottomRight" state="frozen"/>
      <selection pane="topLeft" activeCell="C7" sqref="C7"/>
      <selection pane="topRight" activeCell="C7" sqref="C7"/>
      <selection pane="bottomLeft" activeCell="C7" sqref="C7"/>
      <selection pane="bottomRight" activeCell="I55" sqref="I55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37" t="s">
        <v>95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20.25" customHeight="1" thickBot="1">
      <c r="A2" s="21"/>
      <c r="B2" s="22"/>
      <c r="C2" s="2"/>
      <c r="D2" s="229">
        <v>36720</v>
      </c>
      <c r="E2" s="23"/>
      <c r="F2" s="23"/>
      <c r="G2" s="229">
        <f>J2-D2</f>
        <v>206913</v>
      </c>
      <c r="H2" s="2"/>
      <c r="I2" s="2"/>
      <c r="J2" s="229">
        <v>243633</v>
      </c>
      <c r="K2" s="2"/>
    </row>
    <row r="3" spans="1:11" ht="12.75">
      <c r="A3" s="239" t="s">
        <v>24</v>
      </c>
      <c r="B3" s="241" t="s">
        <v>5</v>
      </c>
      <c r="C3" s="130" t="s">
        <v>1</v>
      </c>
      <c r="D3" s="129"/>
      <c r="E3" s="129"/>
      <c r="F3" s="130" t="s">
        <v>2</v>
      </c>
      <c r="G3" s="129"/>
      <c r="H3" s="129"/>
      <c r="I3" s="130" t="s">
        <v>3</v>
      </c>
      <c r="J3" s="129"/>
      <c r="K3" s="131"/>
    </row>
    <row r="4" spans="1:11" ht="33.75" customHeight="1" thickBot="1">
      <c r="A4" s="250"/>
      <c r="B4" s="242"/>
      <c r="C4" s="126" t="s">
        <v>6</v>
      </c>
      <c r="D4" s="124" t="s">
        <v>7</v>
      </c>
      <c r="E4" s="125" t="s">
        <v>8</v>
      </c>
      <c r="F4" s="126"/>
      <c r="G4" s="124" t="s">
        <v>7</v>
      </c>
      <c r="H4" s="125" t="s">
        <v>8</v>
      </c>
      <c r="I4" s="126" t="s">
        <v>6</v>
      </c>
      <c r="J4" s="124" t="s">
        <v>7</v>
      </c>
      <c r="K4" s="127" t="s">
        <v>8</v>
      </c>
    </row>
    <row r="5" spans="1:11" ht="16.5" customHeight="1" thickBot="1">
      <c r="A5" s="90" t="s">
        <v>9</v>
      </c>
      <c r="B5" s="154" t="s">
        <v>26</v>
      </c>
      <c r="C5" s="145"/>
      <c r="D5" s="94">
        <f aca="true" t="shared" si="0" ref="D5:D36">C5*1000/$D$2</f>
        <v>0</v>
      </c>
      <c r="E5" s="95">
        <f aca="true" t="shared" si="1" ref="E5:E36">C5*100/C$58</f>
        <v>0</v>
      </c>
      <c r="F5" s="135">
        <f>22+28</f>
        <v>50</v>
      </c>
      <c r="G5" s="94">
        <f aca="true" t="shared" si="2" ref="G5:G36">F5*1000/$G$2</f>
        <v>0.241647455693939</v>
      </c>
      <c r="H5" s="95">
        <f aca="true" t="shared" si="3" ref="H5:H36">F5*100/F$58</f>
        <v>9.765625</v>
      </c>
      <c r="I5" s="145">
        <f aca="true" t="shared" si="4" ref="I5:I36">SUM(C5,F5)</f>
        <v>50</v>
      </c>
      <c r="J5" s="94">
        <f aca="true" t="shared" si="5" ref="J5:J36">I5*1000/$J$2</f>
        <v>0.20522671395090156</v>
      </c>
      <c r="K5" s="97">
        <f aca="true" t="shared" si="6" ref="K5:K36">I5*100/I$58</f>
        <v>9.345794392523365</v>
      </c>
    </row>
    <row r="6" spans="1:11" s="1" customFormat="1" ht="12.75" customHeight="1">
      <c r="A6" s="4"/>
      <c r="B6" s="40" t="s">
        <v>36</v>
      </c>
      <c r="C6" s="146"/>
      <c r="D6" s="18">
        <f t="shared" si="0"/>
        <v>0</v>
      </c>
      <c r="E6" s="31">
        <f t="shared" si="1"/>
        <v>0</v>
      </c>
      <c r="F6" s="138"/>
      <c r="G6" s="18">
        <f t="shared" si="2"/>
        <v>0</v>
      </c>
      <c r="H6" s="31">
        <f t="shared" si="3"/>
        <v>0</v>
      </c>
      <c r="I6" s="138">
        <f t="shared" si="4"/>
        <v>0</v>
      </c>
      <c r="J6" s="18">
        <f t="shared" si="5"/>
        <v>0</v>
      </c>
      <c r="K6" s="19">
        <f t="shared" si="6"/>
        <v>0</v>
      </c>
    </row>
    <row r="7" spans="1:11" s="1" customFormat="1" ht="14.25" customHeight="1" thickBot="1">
      <c r="A7" s="4"/>
      <c r="B7" s="39" t="s">
        <v>37</v>
      </c>
      <c r="C7" s="147"/>
      <c r="D7" s="12">
        <f t="shared" si="0"/>
        <v>0</v>
      </c>
      <c r="E7" s="32">
        <f t="shared" si="1"/>
        <v>0</v>
      </c>
      <c r="F7" s="133"/>
      <c r="G7" s="14">
        <f t="shared" si="2"/>
        <v>0</v>
      </c>
      <c r="H7" s="35">
        <f t="shared" si="3"/>
        <v>0</v>
      </c>
      <c r="I7" s="140">
        <f t="shared" si="4"/>
        <v>0</v>
      </c>
      <c r="J7" s="14">
        <f t="shared" si="5"/>
        <v>0</v>
      </c>
      <c r="K7" s="13">
        <f t="shared" si="6"/>
        <v>0</v>
      </c>
    </row>
    <row r="8" spans="1:11" ht="13.5" customHeight="1" thickBot="1">
      <c r="A8" s="90" t="s">
        <v>10</v>
      </c>
      <c r="B8" s="100" t="s">
        <v>38</v>
      </c>
      <c r="C8" s="148"/>
      <c r="D8" s="94">
        <f t="shared" si="0"/>
        <v>0</v>
      </c>
      <c r="E8" s="95">
        <f t="shared" si="1"/>
        <v>0</v>
      </c>
      <c r="F8" s="135"/>
      <c r="G8" s="94">
        <f t="shared" si="2"/>
        <v>0</v>
      </c>
      <c r="H8" s="95">
        <f t="shared" si="3"/>
        <v>0</v>
      </c>
      <c r="I8" s="145">
        <f t="shared" si="4"/>
        <v>0</v>
      </c>
      <c r="J8" s="94">
        <f t="shared" si="5"/>
        <v>0</v>
      </c>
      <c r="K8" s="97">
        <f t="shared" si="6"/>
        <v>0</v>
      </c>
    </row>
    <row r="9" spans="1:11" s="1" customFormat="1" ht="15" customHeight="1" thickBot="1">
      <c r="A9" s="16"/>
      <c r="B9" s="40" t="s">
        <v>39</v>
      </c>
      <c r="C9" s="146"/>
      <c r="D9" s="18">
        <f t="shared" si="0"/>
        <v>0</v>
      </c>
      <c r="E9" s="31">
        <f t="shared" si="1"/>
        <v>0</v>
      </c>
      <c r="F9" s="133"/>
      <c r="G9" s="18">
        <f t="shared" si="2"/>
        <v>0</v>
      </c>
      <c r="H9" s="31">
        <f t="shared" si="3"/>
        <v>0</v>
      </c>
      <c r="I9" s="138">
        <f t="shared" si="4"/>
        <v>0</v>
      </c>
      <c r="J9" s="18">
        <f t="shared" si="5"/>
        <v>0</v>
      </c>
      <c r="K9" s="19">
        <f t="shared" si="6"/>
        <v>0</v>
      </c>
    </row>
    <row r="10" spans="1:11" s="6" customFormat="1" ht="15.75" customHeight="1" thickBot="1">
      <c r="A10" s="91" t="s">
        <v>11</v>
      </c>
      <c r="B10" s="92" t="s">
        <v>40</v>
      </c>
      <c r="C10" s="148"/>
      <c r="D10" s="94">
        <f t="shared" si="0"/>
        <v>0</v>
      </c>
      <c r="E10" s="95">
        <f t="shared" si="1"/>
        <v>0</v>
      </c>
      <c r="F10" s="135"/>
      <c r="G10" s="94">
        <f t="shared" si="2"/>
        <v>0</v>
      </c>
      <c r="H10" s="95">
        <f t="shared" si="3"/>
        <v>0</v>
      </c>
      <c r="I10" s="145">
        <f t="shared" si="4"/>
        <v>0</v>
      </c>
      <c r="J10" s="94">
        <f t="shared" si="5"/>
        <v>0</v>
      </c>
      <c r="K10" s="97">
        <f t="shared" si="6"/>
        <v>0</v>
      </c>
    </row>
    <row r="11" spans="1:11" s="6" customFormat="1" ht="30" customHeight="1" thickBot="1">
      <c r="A11" s="98" t="s">
        <v>12</v>
      </c>
      <c r="B11" s="92" t="s">
        <v>41</v>
      </c>
      <c r="C11" s="148"/>
      <c r="D11" s="94">
        <f t="shared" si="0"/>
        <v>0</v>
      </c>
      <c r="E11" s="95">
        <f t="shared" si="1"/>
        <v>0</v>
      </c>
      <c r="F11" s="135"/>
      <c r="G11" s="94">
        <f t="shared" si="2"/>
        <v>0</v>
      </c>
      <c r="H11" s="95">
        <f t="shared" si="3"/>
        <v>0</v>
      </c>
      <c r="I11" s="145">
        <f t="shared" si="4"/>
        <v>0</v>
      </c>
      <c r="J11" s="94">
        <f t="shared" si="5"/>
        <v>0</v>
      </c>
      <c r="K11" s="97">
        <f t="shared" si="6"/>
        <v>0</v>
      </c>
    </row>
    <row r="12" spans="1:11" s="6" customFormat="1" ht="16.5" customHeight="1" thickBot="1">
      <c r="A12" s="17"/>
      <c r="B12" s="41" t="s">
        <v>78</v>
      </c>
      <c r="C12" s="149"/>
      <c r="D12" s="29">
        <f t="shared" si="0"/>
        <v>0</v>
      </c>
      <c r="E12" s="34">
        <f t="shared" si="1"/>
        <v>0</v>
      </c>
      <c r="F12" s="133"/>
      <c r="G12" s="29">
        <f t="shared" si="2"/>
        <v>0</v>
      </c>
      <c r="H12" s="34">
        <f t="shared" si="3"/>
        <v>0</v>
      </c>
      <c r="I12" s="133">
        <f t="shared" si="4"/>
        <v>0</v>
      </c>
      <c r="J12" s="29">
        <f t="shared" si="5"/>
        <v>0</v>
      </c>
      <c r="K12" s="30">
        <f t="shared" si="6"/>
        <v>0</v>
      </c>
    </row>
    <row r="13" spans="1:11" s="6" customFormat="1" ht="15" customHeight="1" thickBot="1">
      <c r="A13" s="99" t="s">
        <v>13</v>
      </c>
      <c r="B13" s="100" t="s">
        <v>42</v>
      </c>
      <c r="C13" s="162"/>
      <c r="D13" s="102">
        <f t="shared" si="0"/>
        <v>0</v>
      </c>
      <c r="E13" s="103">
        <f t="shared" si="1"/>
        <v>0</v>
      </c>
      <c r="F13" s="135"/>
      <c r="G13" s="102">
        <f t="shared" si="2"/>
        <v>0</v>
      </c>
      <c r="H13" s="103">
        <f t="shared" si="3"/>
        <v>0</v>
      </c>
      <c r="I13" s="163">
        <f t="shared" si="4"/>
        <v>0</v>
      </c>
      <c r="J13" s="102">
        <f t="shared" si="5"/>
        <v>0</v>
      </c>
      <c r="K13" s="104">
        <f t="shared" si="6"/>
        <v>0</v>
      </c>
    </row>
    <row r="14" spans="1:11" s="6" customFormat="1" ht="15.75" customHeight="1" thickBot="1">
      <c r="A14" s="98" t="s">
        <v>14</v>
      </c>
      <c r="B14" s="92" t="s">
        <v>43</v>
      </c>
      <c r="C14" s="148"/>
      <c r="D14" s="94">
        <f t="shared" si="0"/>
        <v>0</v>
      </c>
      <c r="E14" s="95">
        <f t="shared" si="1"/>
        <v>0</v>
      </c>
      <c r="F14" s="135"/>
      <c r="G14" s="94">
        <f t="shared" si="2"/>
        <v>0</v>
      </c>
      <c r="H14" s="95">
        <f t="shared" si="3"/>
        <v>0</v>
      </c>
      <c r="I14" s="145">
        <f t="shared" si="4"/>
        <v>0</v>
      </c>
      <c r="J14" s="94">
        <f t="shared" si="5"/>
        <v>0</v>
      </c>
      <c r="K14" s="113">
        <f t="shared" si="6"/>
        <v>0</v>
      </c>
    </row>
    <row r="15" spans="1:11" s="1" customFormat="1" ht="15.75" customHeight="1" thickBot="1">
      <c r="A15" s="4"/>
      <c r="B15" s="42" t="s">
        <v>44</v>
      </c>
      <c r="C15" s="150"/>
      <c r="D15" s="14">
        <f t="shared" si="0"/>
        <v>0</v>
      </c>
      <c r="E15" s="35">
        <f t="shared" si="1"/>
        <v>0</v>
      </c>
      <c r="F15" s="133"/>
      <c r="G15" s="14">
        <f t="shared" si="2"/>
        <v>0</v>
      </c>
      <c r="H15" s="35">
        <f t="shared" si="3"/>
        <v>0</v>
      </c>
      <c r="I15" s="140">
        <f t="shared" si="4"/>
        <v>0</v>
      </c>
      <c r="J15" s="14">
        <f t="shared" si="5"/>
        <v>0</v>
      </c>
      <c r="K15" s="20">
        <f t="shared" si="6"/>
        <v>0</v>
      </c>
    </row>
    <row r="16" spans="1:11" s="1" customFormat="1" ht="16.5" customHeight="1" thickBot="1">
      <c r="A16" s="105" t="s">
        <v>15</v>
      </c>
      <c r="B16" s="100" t="s">
        <v>27</v>
      </c>
      <c r="C16" s="151"/>
      <c r="D16" s="107">
        <f t="shared" si="0"/>
        <v>0</v>
      </c>
      <c r="E16" s="108">
        <f t="shared" si="1"/>
        <v>0</v>
      </c>
      <c r="F16" s="135"/>
      <c r="G16" s="107">
        <f t="shared" si="2"/>
        <v>0</v>
      </c>
      <c r="H16" s="108">
        <f t="shared" si="3"/>
        <v>0</v>
      </c>
      <c r="I16" s="135">
        <f t="shared" si="4"/>
        <v>0</v>
      </c>
      <c r="J16" s="107">
        <f t="shared" si="5"/>
        <v>0</v>
      </c>
      <c r="K16" s="109">
        <f t="shared" si="6"/>
        <v>0</v>
      </c>
    </row>
    <row r="17" spans="1:11" s="6" customFormat="1" ht="18" customHeight="1" thickBot="1">
      <c r="A17" s="110" t="s">
        <v>16</v>
      </c>
      <c r="B17" s="92" t="s">
        <v>45</v>
      </c>
      <c r="C17" s="148"/>
      <c r="D17" s="94">
        <f t="shared" si="0"/>
        <v>0</v>
      </c>
      <c r="E17" s="95">
        <f t="shared" si="1"/>
        <v>0</v>
      </c>
      <c r="F17" s="137"/>
      <c r="G17" s="94">
        <f t="shared" si="2"/>
        <v>0</v>
      </c>
      <c r="H17" s="95">
        <f t="shared" si="3"/>
        <v>0</v>
      </c>
      <c r="I17" s="145">
        <f t="shared" si="4"/>
        <v>0</v>
      </c>
      <c r="J17" s="94">
        <f t="shared" si="5"/>
        <v>0</v>
      </c>
      <c r="K17" s="97">
        <f t="shared" si="6"/>
        <v>0</v>
      </c>
    </row>
    <row r="18" spans="1:11" s="6" customFormat="1" ht="18" customHeight="1" thickBot="1">
      <c r="A18" s="98" t="s">
        <v>17</v>
      </c>
      <c r="B18" s="156" t="s">
        <v>46</v>
      </c>
      <c r="C18" s="148"/>
      <c r="D18" s="94">
        <f t="shared" si="0"/>
        <v>0</v>
      </c>
      <c r="E18" s="95">
        <f t="shared" si="1"/>
        <v>0</v>
      </c>
      <c r="F18" s="135"/>
      <c r="G18" s="94">
        <f t="shared" si="2"/>
        <v>0</v>
      </c>
      <c r="H18" s="95">
        <f t="shared" si="3"/>
        <v>0</v>
      </c>
      <c r="I18" s="145">
        <f t="shared" si="4"/>
        <v>0</v>
      </c>
      <c r="J18" s="94">
        <f t="shared" si="5"/>
        <v>0</v>
      </c>
      <c r="K18" s="97">
        <f t="shared" si="6"/>
        <v>0</v>
      </c>
    </row>
    <row r="19" spans="1:11" s="1" customFormat="1" ht="14.25" customHeight="1">
      <c r="A19" s="4"/>
      <c r="B19" s="38" t="s">
        <v>47</v>
      </c>
      <c r="C19" s="146"/>
      <c r="D19" s="18">
        <f t="shared" si="0"/>
        <v>0</v>
      </c>
      <c r="E19" s="31">
        <f t="shared" si="1"/>
        <v>0</v>
      </c>
      <c r="F19" s="138"/>
      <c r="G19" s="18">
        <f t="shared" si="2"/>
        <v>0</v>
      </c>
      <c r="H19" s="31">
        <f t="shared" si="3"/>
        <v>0</v>
      </c>
      <c r="I19" s="138">
        <f t="shared" si="4"/>
        <v>0</v>
      </c>
      <c r="J19" s="18">
        <f t="shared" si="5"/>
        <v>0</v>
      </c>
      <c r="K19" s="19">
        <f t="shared" si="6"/>
        <v>0</v>
      </c>
    </row>
    <row r="20" spans="1:11" s="1" customFormat="1" ht="15.75" customHeight="1">
      <c r="A20" s="4"/>
      <c r="B20" s="38" t="s">
        <v>48</v>
      </c>
      <c r="C20" s="132"/>
      <c r="D20" s="12">
        <f t="shared" si="0"/>
        <v>0</v>
      </c>
      <c r="E20" s="32">
        <f t="shared" si="1"/>
        <v>0</v>
      </c>
      <c r="F20" s="132"/>
      <c r="G20" s="12">
        <f t="shared" si="2"/>
        <v>0</v>
      </c>
      <c r="H20" s="32">
        <f t="shared" si="3"/>
        <v>0</v>
      </c>
      <c r="I20" s="132">
        <f t="shared" si="4"/>
        <v>0</v>
      </c>
      <c r="J20" s="12">
        <f t="shared" si="5"/>
        <v>0</v>
      </c>
      <c r="K20" s="13">
        <f t="shared" si="6"/>
        <v>0</v>
      </c>
    </row>
    <row r="21" spans="1:11" s="1" customFormat="1" ht="16.5" customHeight="1" thickBot="1">
      <c r="A21" s="4"/>
      <c r="B21" s="38" t="s">
        <v>49</v>
      </c>
      <c r="C21" s="132"/>
      <c r="D21" s="12">
        <f t="shared" si="0"/>
        <v>0</v>
      </c>
      <c r="E21" s="32">
        <f t="shared" si="1"/>
        <v>0</v>
      </c>
      <c r="F21" s="133"/>
      <c r="G21" s="12">
        <f t="shared" si="2"/>
        <v>0</v>
      </c>
      <c r="H21" s="32">
        <f t="shared" si="3"/>
        <v>0</v>
      </c>
      <c r="I21" s="132">
        <f t="shared" si="4"/>
        <v>0</v>
      </c>
      <c r="J21" s="12">
        <f t="shared" si="5"/>
        <v>0</v>
      </c>
      <c r="K21" s="13">
        <f t="shared" si="6"/>
        <v>0</v>
      </c>
    </row>
    <row r="22" spans="1:11" s="6" customFormat="1" ht="15.75" customHeight="1" thickBot="1">
      <c r="A22" s="98" t="s">
        <v>28</v>
      </c>
      <c r="B22" s="92" t="s">
        <v>50</v>
      </c>
      <c r="C22" s="148"/>
      <c r="D22" s="94">
        <f t="shared" si="0"/>
        <v>0</v>
      </c>
      <c r="E22" s="95">
        <f t="shared" si="1"/>
        <v>0</v>
      </c>
      <c r="F22" s="135"/>
      <c r="G22" s="94">
        <f t="shared" si="2"/>
        <v>0</v>
      </c>
      <c r="H22" s="95">
        <f t="shared" si="3"/>
        <v>0</v>
      </c>
      <c r="I22" s="145">
        <f t="shared" si="4"/>
        <v>0</v>
      </c>
      <c r="J22" s="94">
        <f t="shared" si="5"/>
        <v>0</v>
      </c>
      <c r="K22" s="97">
        <f t="shared" si="6"/>
        <v>0</v>
      </c>
    </row>
    <row r="23" spans="1:11" s="1" customFormat="1" ht="15.75" customHeight="1">
      <c r="A23" s="4"/>
      <c r="B23" s="40" t="s">
        <v>51</v>
      </c>
      <c r="C23" s="146"/>
      <c r="D23" s="18">
        <f t="shared" si="0"/>
        <v>0</v>
      </c>
      <c r="E23" s="31">
        <f t="shared" si="1"/>
        <v>0</v>
      </c>
      <c r="F23" s="138"/>
      <c r="G23" s="18">
        <f t="shared" si="2"/>
        <v>0</v>
      </c>
      <c r="H23" s="31">
        <f t="shared" si="3"/>
        <v>0</v>
      </c>
      <c r="I23" s="138">
        <f t="shared" si="4"/>
        <v>0</v>
      </c>
      <c r="J23" s="18">
        <f t="shared" si="5"/>
        <v>0</v>
      </c>
      <c r="K23" s="19">
        <f t="shared" si="6"/>
        <v>0</v>
      </c>
    </row>
    <row r="24" spans="1:11" s="1" customFormat="1" ht="14.25" customHeight="1">
      <c r="A24" s="4"/>
      <c r="B24" s="38" t="s">
        <v>52</v>
      </c>
      <c r="C24" s="147"/>
      <c r="D24" s="12">
        <f t="shared" si="0"/>
        <v>0</v>
      </c>
      <c r="E24" s="32">
        <f t="shared" si="1"/>
        <v>0</v>
      </c>
      <c r="F24" s="132"/>
      <c r="G24" s="12">
        <f t="shared" si="2"/>
        <v>0</v>
      </c>
      <c r="H24" s="32">
        <f t="shared" si="3"/>
        <v>0</v>
      </c>
      <c r="I24" s="132">
        <f t="shared" si="4"/>
        <v>0</v>
      </c>
      <c r="J24" s="12">
        <f t="shared" si="5"/>
        <v>0</v>
      </c>
      <c r="K24" s="13">
        <f t="shared" si="6"/>
        <v>0</v>
      </c>
    </row>
    <row r="25" spans="1:11" s="1" customFormat="1" ht="15.75" customHeight="1">
      <c r="A25" s="4"/>
      <c r="B25" s="38" t="s">
        <v>85</v>
      </c>
      <c r="C25" s="147"/>
      <c r="D25" s="12">
        <f t="shared" si="0"/>
        <v>0</v>
      </c>
      <c r="E25" s="32">
        <f t="shared" si="1"/>
        <v>0</v>
      </c>
      <c r="F25" s="132"/>
      <c r="G25" s="12">
        <f t="shared" si="2"/>
        <v>0</v>
      </c>
      <c r="H25" s="32">
        <f t="shared" si="3"/>
        <v>0</v>
      </c>
      <c r="I25" s="132">
        <f t="shared" si="4"/>
        <v>0</v>
      </c>
      <c r="J25" s="12">
        <f t="shared" si="5"/>
        <v>0</v>
      </c>
      <c r="K25" s="13">
        <f t="shared" si="6"/>
        <v>0</v>
      </c>
    </row>
    <row r="26" spans="1:11" s="1" customFormat="1" ht="13.5" thickBot="1">
      <c r="A26" s="4"/>
      <c r="B26" s="38" t="s">
        <v>86</v>
      </c>
      <c r="C26" s="147"/>
      <c r="D26" s="12">
        <f t="shared" si="0"/>
        <v>0</v>
      </c>
      <c r="E26" s="32">
        <f t="shared" si="1"/>
        <v>0</v>
      </c>
      <c r="F26" s="133"/>
      <c r="G26" s="12">
        <f t="shared" si="2"/>
        <v>0</v>
      </c>
      <c r="H26" s="32">
        <f t="shared" si="3"/>
        <v>0</v>
      </c>
      <c r="I26" s="132">
        <f t="shared" si="4"/>
        <v>0</v>
      </c>
      <c r="J26" s="12">
        <f t="shared" si="5"/>
        <v>0</v>
      </c>
      <c r="K26" s="13">
        <f t="shared" si="6"/>
        <v>0</v>
      </c>
    </row>
    <row r="27" spans="1:11" s="6" customFormat="1" ht="14.25" customHeight="1" thickBot="1">
      <c r="A27" s="98" t="s">
        <v>18</v>
      </c>
      <c r="B27" s="92" t="s">
        <v>53</v>
      </c>
      <c r="C27" s="148"/>
      <c r="D27" s="94">
        <f t="shared" si="0"/>
        <v>0</v>
      </c>
      <c r="E27" s="95">
        <f t="shared" si="1"/>
        <v>0</v>
      </c>
      <c r="F27" s="135"/>
      <c r="G27" s="94">
        <f t="shared" si="2"/>
        <v>0</v>
      </c>
      <c r="H27" s="95">
        <f t="shared" si="3"/>
        <v>0</v>
      </c>
      <c r="I27" s="145">
        <f t="shared" si="4"/>
        <v>0</v>
      </c>
      <c r="J27" s="94">
        <f t="shared" si="5"/>
        <v>0</v>
      </c>
      <c r="K27" s="97">
        <f t="shared" si="6"/>
        <v>0</v>
      </c>
    </row>
    <row r="28" spans="1:11" s="1" customFormat="1" ht="15" customHeight="1">
      <c r="A28" s="4"/>
      <c r="B28" s="40" t="s">
        <v>54</v>
      </c>
      <c r="C28" s="146"/>
      <c r="D28" s="18">
        <f t="shared" si="0"/>
        <v>0</v>
      </c>
      <c r="E28" s="31">
        <f t="shared" si="1"/>
        <v>0</v>
      </c>
      <c r="F28" s="138"/>
      <c r="G28" s="18">
        <f t="shared" si="2"/>
        <v>0</v>
      </c>
      <c r="H28" s="31">
        <f t="shared" si="3"/>
        <v>0</v>
      </c>
      <c r="I28" s="138">
        <f t="shared" si="4"/>
        <v>0</v>
      </c>
      <c r="J28" s="18">
        <f t="shared" si="5"/>
        <v>0</v>
      </c>
      <c r="K28" s="19">
        <f t="shared" si="6"/>
        <v>0</v>
      </c>
    </row>
    <row r="29" spans="1:11" s="1" customFormat="1" ht="15" customHeight="1">
      <c r="A29" s="4"/>
      <c r="B29" s="38" t="s">
        <v>55</v>
      </c>
      <c r="C29" s="147"/>
      <c r="D29" s="12">
        <f t="shared" si="0"/>
        <v>0</v>
      </c>
      <c r="E29" s="32">
        <f t="shared" si="1"/>
        <v>0</v>
      </c>
      <c r="F29" s="132"/>
      <c r="G29" s="12">
        <f t="shared" si="2"/>
        <v>0</v>
      </c>
      <c r="H29" s="32">
        <f t="shared" si="3"/>
        <v>0</v>
      </c>
      <c r="I29" s="132">
        <f t="shared" si="4"/>
        <v>0</v>
      </c>
      <c r="J29" s="12">
        <f t="shared" si="5"/>
        <v>0</v>
      </c>
      <c r="K29" s="13">
        <f t="shared" si="6"/>
        <v>0</v>
      </c>
    </row>
    <row r="30" spans="1:11" s="1" customFormat="1" ht="12.75">
      <c r="A30" s="4"/>
      <c r="B30" s="38" t="s">
        <v>56</v>
      </c>
      <c r="C30" s="147"/>
      <c r="D30" s="12">
        <f t="shared" si="0"/>
        <v>0</v>
      </c>
      <c r="E30" s="32">
        <f t="shared" si="1"/>
        <v>0</v>
      </c>
      <c r="F30" s="139"/>
      <c r="G30" s="12">
        <f t="shared" si="2"/>
        <v>0</v>
      </c>
      <c r="H30" s="32">
        <f t="shared" si="3"/>
        <v>0</v>
      </c>
      <c r="I30" s="132">
        <f t="shared" si="4"/>
        <v>0</v>
      </c>
      <c r="J30" s="12">
        <f t="shared" si="5"/>
        <v>0</v>
      </c>
      <c r="K30" s="13">
        <f t="shared" si="6"/>
        <v>0</v>
      </c>
    </row>
    <row r="31" spans="1:11" s="1" customFormat="1" ht="18" customHeight="1" thickBot="1">
      <c r="A31" s="5"/>
      <c r="B31" s="38" t="s">
        <v>57</v>
      </c>
      <c r="C31" s="147"/>
      <c r="D31" s="12">
        <f t="shared" si="0"/>
        <v>0</v>
      </c>
      <c r="E31" s="32">
        <f t="shared" si="1"/>
        <v>0</v>
      </c>
      <c r="F31" s="136"/>
      <c r="G31" s="12">
        <f t="shared" si="2"/>
        <v>0</v>
      </c>
      <c r="H31" s="32">
        <f t="shared" si="3"/>
        <v>0</v>
      </c>
      <c r="I31" s="132">
        <f t="shared" si="4"/>
        <v>0</v>
      </c>
      <c r="J31" s="12">
        <f t="shared" si="5"/>
        <v>0</v>
      </c>
      <c r="K31" s="13">
        <f t="shared" si="6"/>
        <v>0</v>
      </c>
    </row>
    <row r="32" spans="1:11" s="1" customFormat="1" ht="16.5" customHeight="1" thickBot="1">
      <c r="A32" s="99" t="s">
        <v>75</v>
      </c>
      <c r="B32" s="92" t="s">
        <v>61</v>
      </c>
      <c r="C32" s="148">
        <v>23</v>
      </c>
      <c r="D32" s="94">
        <f t="shared" si="0"/>
        <v>0.6263616557734205</v>
      </c>
      <c r="E32" s="95">
        <f t="shared" si="1"/>
        <v>100</v>
      </c>
      <c r="F32" s="135">
        <f>181+274</f>
        <v>455</v>
      </c>
      <c r="G32" s="94">
        <f t="shared" si="2"/>
        <v>2.198991846814845</v>
      </c>
      <c r="H32" s="95">
        <f t="shared" si="3"/>
        <v>88.8671875</v>
      </c>
      <c r="I32" s="145">
        <f t="shared" si="4"/>
        <v>478</v>
      </c>
      <c r="J32" s="94">
        <f t="shared" si="5"/>
        <v>1.961967385370619</v>
      </c>
      <c r="K32" s="97">
        <f t="shared" si="6"/>
        <v>89.34579439252336</v>
      </c>
    </row>
    <row r="33" spans="1:11" s="1" customFormat="1" ht="26.25" thickBot="1">
      <c r="A33" s="99" t="s">
        <v>76</v>
      </c>
      <c r="B33" s="92" t="s">
        <v>62</v>
      </c>
      <c r="C33" s="148"/>
      <c r="D33" s="94">
        <f t="shared" si="0"/>
        <v>0</v>
      </c>
      <c r="E33" s="95">
        <f t="shared" si="1"/>
        <v>0</v>
      </c>
      <c r="F33" s="135"/>
      <c r="G33" s="94">
        <f t="shared" si="2"/>
        <v>0</v>
      </c>
      <c r="H33" s="95">
        <f t="shared" si="3"/>
        <v>0</v>
      </c>
      <c r="I33" s="145">
        <f t="shared" si="4"/>
        <v>0</v>
      </c>
      <c r="J33" s="94">
        <f t="shared" si="5"/>
        <v>0</v>
      </c>
      <c r="K33" s="97">
        <f t="shared" si="6"/>
        <v>0</v>
      </c>
    </row>
    <row r="34" spans="1:11" s="6" customFormat="1" ht="21" customHeight="1" thickBot="1">
      <c r="A34" s="98" t="s">
        <v>19</v>
      </c>
      <c r="B34" s="92" t="s">
        <v>58</v>
      </c>
      <c r="C34" s="148"/>
      <c r="D34" s="94">
        <f t="shared" si="0"/>
        <v>0</v>
      </c>
      <c r="E34" s="95">
        <f t="shared" si="1"/>
        <v>0</v>
      </c>
      <c r="F34" s="135"/>
      <c r="G34" s="94">
        <f t="shared" si="2"/>
        <v>0</v>
      </c>
      <c r="H34" s="95">
        <f t="shared" si="3"/>
        <v>0</v>
      </c>
      <c r="I34" s="145">
        <f t="shared" si="4"/>
        <v>0</v>
      </c>
      <c r="J34" s="94">
        <f t="shared" si="5"/>
        <v>0</v>
      </c>
      <c r="K34" s="97">
        <f t="shared" si="6"/>
        <v>0</v>
      </c>
    </row>
    <row r="35" spans="1:11" s="1" customFormat="1" ht="12.75">
      <c r="A35" s="4"/>
      <c r="B35" s="40" t="s">
        <v>59</v>
      </c>
      <c r="C35" s="146"/>
      <c r="D35" s="25">
        <f t="shared" si="0"/>
        <v>0</v>
      </c>
      <c r="E35" s="36">
        <f t="shared" si="1"/>
        <v>0</v>
      </c>
      <c r="F35" s="138"/>
      <c r="G35" s="25">
        <f t="shared" si="2"/>
        <v>0</v>
      </c>
      <c r="H35" s="36">
        <f t="shared" si="3"/>
        <v>0</v>
      </c>
      <c r="I35" s="138">
        <f t="shared" si="4"/>
        <v>0</v>
      </c>
      <c r="J35" s="25">
        <f t="shared" si="5"/>
        <v>0</v>
      </c>
      <c r="K35" s="26">
        <f t="shared" si="6"/>
        <v>0</v>
      </c>
    </row>
    <row r="36" spans="1:11" s="1" customFormat="1" ht="13.5" customHeight="1">
      <c r="A36" s="4"/>
      <c r="B36" s="43" t="s">
        <v>31</v>
      </c>
      <c r="C36" s="147"/>
      <c r="D36" s="27">
        <f t="shared" si="0"/>
        <v>0</v>
      </c>
      <c r="E36" s="37">
        <f t="shared" si="1"/>
        <v>0</v>
      </c>
      <c r="F36" s="132"/>
      <c r="G36" s="27">
        <f t="shared" si="2"/>
        <v>0</v>
      </c>
      <c r="H36" s="37">
        <f t="shared" si="3"/>
        <v>0</v>
      </c>
      <c r="I36" s="132">
        <f t="shared" si="4"/>
        <v>0</v>
      </c>
      <c r="J36" s="27">
        <f t="shared" si="5"/>
        <v>0</v>
      </c>
      <c r="K36" s="28">
        <f t="shared" si="6"/>
        <v>0</v>
      </c>
    </row>
    <row r="37" spans="1:11" s="1" customFormat="1" ht="12" customHeight="1" thickBot="1">
      <c r="A37" s="16"/>
      <c r="B37" s="38" t="s">
        <v>84</v>
      </c>
      <c r="C37" s="147"/>
      <c r="D37" s="27">
        <f aca="true" t="shared" si="7" ref="D37:D58">C37*1000/$D$2</f>
        <v>0</v>
      </c>
      <c r="E37" s="37">
        <f aca="true" t="shared" si="8" ref="E37:E57">C37*100/C$58</f>
        <v>0</v>
      </c>
      <c r="F37" s="140"/>
      <c r="G37" s="27">
        <f aca="true" t="shared" si="9" ref="G37:G58">F37*1000/$G$2</f>
        <v>0</v>
      </c>
      <c r="H37" s="37">
        <f aca="true" t="shared" si="10" ref="H37:H57">F37*100/F$58</f>
        <v>0</v>
      </c>
      <c r="I37" s="132">
        <f aca="true" t="shared" si="11" ref="I37:I57">SUM(C37,F37)</f>
        <v>0</v>
      </c>
      <c r="J37" s="27">
        <f aca="true" t="shared" si="12" ref="J37:J58">I37*1000/$J$2</f>
        <v>0</v>
      </c>
      <c r="K37" s="28">
        <f aca="true" t="shared" si="13" ref="K37:K57">I37*100/I$58</f>
        <v>0</v>
      </c>
    </row>
    <row r="38" spans="1:11" s="6" customFormat="1" ht="21" customHeight="1" thickBot="1">
      <c r="A38" s="98" t="s">
        <v>20</v>
      </c>
      <c r="B38" s="92" t="s">
        <v>32</v>
      </c>
      <c r="C38" s="148"/>
      <c r="D38" s="94">
        <f t="shared" si="7"/>
        <v>0</v>
      </c>
      <c r="E38" s="95">
        <f t="shared" si="8"/>
        <v>0</v>
      </c>
      <c r="F38" s="135">
        <v>7</v>
      </c>
      <c r="G38" s="94">
        <f t="shared" si="9"/>
        <v>0.033830643797151456</v>
      </c>
      <c r="H38" s="95">
        <f t="shared" si="10"/>
        <v>1.3671875</v>
      </c>
      <c r="I38" s="145">
        <f t="shared" si="11"/>
        <v>7</v>
      </c>
      <c r="J38" s="94">
        <f t="shared" si="12"/>
        <v>0.02873173995312622</v>
      </c>
      <c r="K38" s="113">
        <f t="shared" si="13"/>
        <v>1.308411214953271</v>
      </c>
    </row>
    <row r="39" spans="1:11" s="1" customFormat="1" ht="12.75">
      <c r="A39" s="4"/>
      <c r="B39" s="40" t="s">
        <v>60</v>
      </c>
      <c r="C39" s="146"/>
      <c r="D39" s="18">
        <f t="shared" si="7"/>
        <v>0</v>
      </c>
      <c r="E39" s="31">
        <f t="shared" si="8"/>
        <v>0</v>
      </c>
      <c r="F39" s="138"/>
      <c r="G39" s="18">
        <f t="shared" si="9"/>
        <v>0</v>
      </c>
      <c r="H39" s="31">
        <f t="shared" si="10"/>
        <v>0</v>
      </c>
      <c r="I39" s="138">
        <f t="shared" si="11"/>
        <v>0</v>
      </c>
      <c r="J39" s="18">
        <f t="shared" si="12"/>
        <v>0</v>
      </c>
      <c r="K39" s="19">
        <f t="shared" si="13"/>
        <v>0</v>
      </c>
    </row>
    <row r="40" spans="1:11" s="1" customFormat="1" ht="12.75">
      <c r="A40" s="4"/>
      <c r="B40" s="38" t="s">
        <v>34</v>
      </c>
      <c r="C40" s="147"/>
      <c r="D40" s="12">
        <f t="shared" si="7"/>
        <v>0</v>
      </c>
      <c r="E40" s="32">
        <f t="shared" si="8"/>
        <v>0</v>
      </c>
      <c r="F40" s="132"/>
      <c r="G40" s="12">
        <f t="shared" si="9"/>
        <v>0</v>
      </c>
      <c r="H40" s="32">
        <f t="shared" si="10"/>
        <v>0</v>
      </c>
      <c r="I40" s="132">
        <f t="shared" si="11"/>
        <v>0</v>
      </c>
      <c r="J40" s="12">
        <f t="shared" si="12"/>
        <v>0</v>
      </c>
      <c r="K40" s="13">
        <f t="shared" si="13"/>
        <v>0</v>
      </c>
    </row>
    <row r="41" spans="1:11" s="1" customFormat="1" ht="12.75">
      <c r="A41" s="4"/>
      <c r="B41" s="38" t="s">
        <v>25</v>
      </c>
      <c r="C41" s="147"/>
      <c r="D41" s="12">
        <f t="shared" si="7"/>
        <v>0</v>
      </c>
      <c r="E41" s="32">
        <f t="shared" si="8"/>
        <v>0</v>
      </c>
      <c r="F41" s="132"/>
      <c r="G41" s="12">
        <f t="shared" si="9"/>
        <v>0</v>
      </c>
      <c r="H41" s="32">
        <f t="shared" si="10"/>
        <v>0</v>
      </c>
      <c r="I41" s="132">
        <f t="shared" si="11"/>
        <v>0</v>
      </c>
      <c r="J41" s="12">
        <f t="shared" si="12"/>
        <v>0</v>
      </c>
      <c r="K41" s="13">
        <f t="shared" si="13"/>
        <v>0</v>
      </c>
    </row>
    <row r="42" spans="1:11" s="1" customFormat="1" ht="13.5" thickBot="1">
      <c r="A42" s="5"/>
      <c r="B42" s="38" t="s">
        <v>35</v>
      </c>
      <c r="C42" s="147"/>
      <c r="D42" s="12">
        <f t="shared" si="7"/>
        <v>0</v>
      </c>
      <c r="E42" s="32">
        <f t="shared" si="8"/>
        <v>0</v>
      </c>
      <c r="F42" s="133"/>
      <c r="G42" s="12">
        <f t="shared" si="9"/>
        <v>0</v>
      </c>
      <c r="H42" s="32">
        <f t="shared" si="10"/>
        <v>0</v>
      </c>
      <c r="I42" s="132">
        <f t="shared" si="11"/>
        <v>0</v>
      </c>
      <c r="J42" s="12">
        <f t="shared" si="12"/>
        <v>0</v>
      </c>
      <c r="K42" s="13">
        <f t="shared" si="13"/>
        <v>0</v>
      </c>
    </row>
    <row r="43" spans="1:11" s="6" customFormat="1" ht="23.25" customHeight="1" thickBot="1">
      <c r="A43" s="98" t="s">
        <v>21</v>
      </c>
      <c r="B43" s="92" t="s">
        <v>64</v>
      </c>
      <c r="C43" s="148"/>
      <c r="D43" s="94">
        <f t="shared" si="7"/>
        <v>0</v>
      </c>
      <c r="E43" s="95">
        <f t="shared" si="8"/>
        <v>0</v>
      </c>
      <c r="F43" s="135"/>
      <c r="G43" s="94">
        <f t="shared" si="9"/>
        <v>0</v>
      </c>
      <c r="H43" s="95">
        <f t="shared" si="10"/>
        <v>0</v>
      </c>
      <c r="I43" s="145">
        <f t="shared" si="11"/>
        <v>0</v>
      </c>
      <c r="J43" s="94">
        <f t="shared" si="12"/>
        <v>0</v>
      </c>
      <c r="K43" s="113">
        <f t="shared" si="13"/>
        <v>0</v>
      </c>
    </row>
    <row r="44" spans="1:11" s="1" customFormat="1" ht="33.75" customHeight="1" thickBot="1">
      <c r="A44" s="9"/>
      <c r="B44" s="161" t="s">
        <v>81</v>
      </c>
      <c r="C44" s="146"/>
      <c r="D44" s="18">
        <f t="shared" si="7"/>
        <v>0</v>
      </c>
      <c r="E44" s="31">
        <f t="shared" si="8"/>
        <v>0</v>
      </c>
      <c r="F44" s="143"/>
      <c r="G44" s="18">
        <f t="shared" si="9"/>
        <v>0</v>
      </c>
      <c r="H44" s="31">
        <f t="shared" si="10"/>
        <v>0</v>
      </c>
      <c r="I44" s="138">
        <f t="shared" si="11"/>
        <v>0</v>
      </c>
      <c r="J44" s="18">
        <f t="shared" si="12"/>
        <v>0</v>
      </c>
      <c r="K44" s="19">
        <f t="shared" si="13"/>
        <v>0</v>
      </c>
    </row>
    <row r="45" spans="1:11" s="1" customFormat="1" ht="16.5" customHeight="1" thickBot="1">
      <c r="A45" s="4"/>
      <c r="B45" s="159" t="s">
        <v>79</v>
      </c>
      <c r="C45" s="147"/>
      <c r="D45" s="12">
        <f t="shared" si="7"/>
        <v>0</v>
      </c>
      <c r="E45" s="32">
        <f t="shared" si="8"/>
        <v>0</v>
      </c>
      <c r="F45" s="141"/>
      <c r="G45" s="12">
        <f t="shared" si="9"/>
        <v>0</v>
      </c>
      <c r="H45" s="32">
        <f t="shared" si="10"/>
        <v>0</v>
      </c>
      <c r="I45" s="132">
        <f t="shared" si="11"/>
        <v>0</v>
      </c>
      <c r="J45" s="12">
        <f t="shared" si="12"/>
        <v>0</v>
      </c>
      <c r="K45" s="13">
        <f t="shared" si="13"/>
        <v>0</v>
      </c>
    </row>
    <row r="46" spans="1:11" s="1" customFormat="1" ht="18" customHeight="1" thickBot="1">
      <c r="A46" s="99" t="s">
        <v>77</v>
      </c>
      <c r="B46" s="92" t="s">
        <v>63</v>
      </c>
      <c r="C46" s="148"/>
      <c r="D46" s="94">
        <f t="shared" si="7"/>
        <v>0</v>
      </c>
      <c r="E46" s="95">
        <f t="shared" si="8"/>
        <v>0</v>
      </c>
      <c r="F46" s="135"/>
      <c r="G46" s="94">
        <f t="shared" si="9"/>
        <v>0</v>
      </c>
      <c r="H46" s="95">
        <f t="shared" si="10"/>
        <v>0</v>
      </c>
      <c r="I46" s="145">
        <f t="shared" si="11"/>
        <v>0</v>
      </c>
      <c r="J46" s="94">
        <f t="shared" si="12"/>
        <v>0</v>
      </c>
      <c r="K46" s="97">
        <f t="shared" si="13"/>
        <v>0</v>
      </c>
    </row>
    <row r="47" spans="1:11" s="6" customFormat="1" ht="21" customHeight="1" thickBot="1">
      <c r="A47" s="99" t="s">
        <v>29</v>
      </c>
      <c r="B47" s="92" t="s">
        <v>65</v>
      </c>
      <c r="C47" s="148"/>
      <c r="D47" s="94">
        <f t="shared" si="7"/>
        <v>0</v>
      </c>
      <c r="E47" s="95">
        <f t="shared" si="8"/>
        <v>0</v>
      </c>
      <c r="F47" s="135"/>
      <c r="G47" s="94">
        <f t="shared" si="9"/>
        <v>0</v>
      </c>
      <c r="H47" s="95">
        <f t="shared" si="10"/>
        <v>0</v>
      </c>
      <c r="I47" s="145">
        <f t="shared" si="11"/>
        <v>0</v>
      </c>
      <c r="J47" s="94">
        <f t="shared" si="12"/>
        <v>0</v>
      </c>
      <c r="K47" s="97">
        <f t="shared" si="13"/>
        <v>0</v>
      </c>
    </row>
    <row r="48" spans="1:11" s="6" customFormat="1" ht="19.5" customHeight="1" thickBot="1">
      <c r="A48" s="98" t="s">
        <v>30</v>
      </c>
      <c r="B48" s="92" t="s">
        <v>66</v>
      </c>
      <c r="C48" s="148"/>
      <c r="D48" s="94">
        <f t="shared" si="7"/>
        <v>0</v>
      </c>
      <c r="E48" s="95">
        <f t="shared" si="8"/>
        <v>0</v>
      </c>
      <c r="F48" s="135"/>
      <c r="G48" s="94">
        <f t="shared" si="9"/>
        <v>0</v>
      </c>
      <c r="H48" s="95">
        <f t="shared" si="10"/>
        <v>0</v>
      </c>
      <c r="I48" s="145">
        <f t="shared" si="11"/>
        <v>0</v>
      </c>
      <c r="J48" s="94">
        <f t="shared" si="12"/>
        <v>0</v>
      </c>
      <c r="K48" s="97">
        <f t="shared" si="13"/>
        <v>0</v>
      </c>
    </row>
    <row r="49" spans="1:11" s="1" customFormat="1" ht="17.25" customHeight="1">
      <c r="A49" s="4"/>
      <c r="B49" s="40" t="s">
        <v>67</v>
      </c>
      <c r="C49" s="146"/>
      <c r="D49" s="18">
        <f t="shared" si="7"/>
        <v>0</v>
      </c>
      <c r="E49" s="31">
        <f t="shared" si="8"/>
        <v>0</v>
      </c>
      <c r="F49" s="138"/>
      <c r="G49" s="18">
        <f t="shared" si="9"/>
        <v>0</v>
      </c>
      <c r="H49" s="31">
        <f t="shared" si="10"/>
        <v>0</v>
      </c>
      <c r="I49" s="138">
        <f t="shared" si="11"/>
        <v>0</v>
      </c>
      <c r="J49" s="18">
        <f t="shared" si="12"/>
        <v>0</v>
      </c>
      <c r="K49" s="19">
        <f t="shared" si="13"/>
        <v>0</v>
      </c>
    </row>
    <row r="50" spans="1:11" s="1" customFormat="1" ht="12.75">
      <c r="A50" s="4"/>
      <c r="B50" s="38" t="s">
        <v>71</v>
      </c>
      <c r="C50" s="147"/>
      <c r="D50" s="12">
        <f t="shared" si="7"/>
        <v>0</v>
      </c>
      <c r="E50" s="32">
        <f t="shared" si="8"/>
        <v>0</v>
      </c>
      <c r="F50" s="132"/>
      <c r="G50" s="12">
        <f t="shared" si="9"/>
        <v>0</v>
      </c>
      <c r="H50" s="32">
        <f t="shared" si="10"/>
        <v>0</v>
      </c>
      <c r="I50" s="132">
        <f t="shared" si="11"/>
        <v>0</v>
      </c>
      <c r="J50" s="12">
        <f t="shared" si="12"/>
        <v>0</v>
      </c>
      <c r="K50" s="13">
        <f t="shared" si="13"/>
        <v>0</v>
      </c>
    </row>
    <row r="51" spans="1:11" s="1" customFormat="1" ht="15.75" customHeight="1">
      <c r="A51" s="4"/>
      <c r="B51" s="38" t="s">
        <v>68</v>
      </c>
      <c r="C51" s="147"/>
      <c r="D51" s="12">
        <f t="shared" si="7"/>
        <v>0</v>
      </c>
      <c r="E51" s="32">
        <f t="shared" si="8"/>
        <v>0</v>
      </c>
      <c r="F51" s="132"/>
      <c r="G51" s="12">
        <f t="shared" si="9"/>
        <v>0</v>
      </c>
      <c r="H51" s="32">
        <f t="shared" si="10"/>
        <v>0</v>
      </c>
      <c r="I51" s="132">
        <f t="shared" si="11"/>
        <v>0</v>
      </c>
      <c r="J51" s="12">
        <f t="shared" si="12"/>
        <v>0</v>
      </c>
      <c r="K51" s="13">
        <f t="shared" si="13"/>
        <v>0</v>
      </c>
    </row>
    <row r="52" spans="1:11" s="1" customFormat="1" ht="12.75">
      <c r="A52" s="4"/>
      <c r="B52" s="38" t="s">
        <v>72</v>
      </c>
      <c r="C52" s="147"/>
      <c r="D52" s="12">
        <f t="shared" si="7"/>
        <v>0</v>
      </c>
      <c r="E52" s="32">
        <f t="shared" si="8"/>
        <v>0</v>
      </c>
      <c r="F52" s="132"/>
      <c r="G52" s="12">
        <f t="shared" si="9"/>
        <v>0</v>
      </c>
      <c r="H52" s="32">
        <f t="shared" si="10"/>
        <v>0</v>
      </c>
      <c r="I52" s="132">
        <f t="shared" si="11"/>
        <v>0</v>
      </c>
      <c r="J52" s="12">
        <f t="shared" si="12"/>
        <v>0</v>
      </c>
      <c r="K52" s="13">
        <f t="shared" si="13"/>
        <v>0</v>
      </c>
    </row>
    <row r="53" spans="1:11" s="1" customFormat="1" ht="16.5" customHeight="1">
      <c r="A53" s="4"/>
      <c r="B53" s="38" t="s">
        <v>69</v>
      </c>
      <c r="C53" s="147"/>
      <c r="D53" s="12">
        <f t="shared" si="7"/>
        <v>0</v>
      </c>
      <c r="E53" s="32">
        <f t="shared" si="8"/>
        <v>0</v>
      </c>
      <c r="F53" s="132"/>
      <c r="G53" s="12">
        <f t="shared" si="9"/>
        <v>0</v>
      </c>
      <c r="H53" s="32">
        <f t="shared" si="10"/>
        <v>0</v>
      </c>
      <c r="I53" s="132">
        <f t="shared" si="11"/>
        <v>0</v>
      </c>
      <c r="J53" s="12">
        <f t="shared" si="12"/>
        <v>0</v>
      </c>
      <c r="K53" s="13">
        <f t="shared" si="13"/>
        <v>0</v>
      </c>
    </row>
    <row r="54" spans="1:11" s="1" customFormat="1" ht="12" customHeight="1">
      <c r="A54" s="4"/>
      <c r="B54" s="38" t="s">
        <v>73</v>
      </c>
      <c r="C54" s="147"/>
      <c r="D54" s="12">
        <f t="shared" si="7"/>
        <v>0</v>
      </c>
      <c r="E54" s="32">
        <f t="shared" si="8"/>
        <v>0</v>
      </c>
      <c r="F54" s="132"/>
      <c r="G54" s="12">
        <f t="shared" si="9"/>
        <v>0</v>
      </c>
      <c r="H54" s="32">
        <f t="shared" si="10"/>
        <v>0</v>
      </c>
      <c r="I54" s="132">
        <f t="shared" si="11"/>
        <v>0</v>
      </c>
      <c r="J54" s="12">
        <f t="shared" si="12"/>
        <v>0</v>
      </c>
      <c r="K54" s="13">
        <f t="shared" si="13"/>
        <v>0</v>
      </c>
    </row>
    <row r="55" spans="1:11" s="1" customFormat="1" ht="16.5" customHeight="1">
      <c r="A55" s="4"/>
      <c r="B55" s="38" t="s">
        <v>70</v>
      </c>
      <c r="C55" s="147"/>
      <c r="D55" s="12">
        <f t="shared" si="7"/>
        <v>0</v>
      </c>
      <c r="E55" s="32">
        <f t="shared" si="8"/>
        <v>0</v>
      </c>
      <c r="F55" s="132"/>
      <c r="G55" s="12">
        <f t="shared" si="9"/>
        <v>0</v>
      </c>
      <c r="H55" s="32">
        <f t="shared" si="10"/>
        <v>0</v>
      </c>
      <c r="I55" s="132">
        <f t="shared" si="11"/>
        <v>0</v>
      </c>
      <c r="J55" s="12">
        <f t="shared" si="12"/>
        <v>0</v>
      </c>
      <c r="K55" s="13">
        <f t="shared" si="13"/>
        <v>0</v>
      </c>
    </row>
    <row r="56" spans="1:11" s="1" customFormat="1" ht="12.75">
      <c r="A56" s="4"/>
      <c r="B56" s="38" t="s">
        <v>74</v>
      </c>
      <c r="C56" s="147"/>
      <c r="D56" s="12">
        <f t="shared" si="7"/>
        <v>0</v>
      </c>
      <c r="E56" s="32">
        <f t="shared" si="8"/>
        <v>0</v>
      </c>
      <c r="F56" s="132"/>
      <c r="G56" s="12">
        <f t="shared" si="9"/>
        <v>0</v>
      </c>
      <c r="H56" s="32">
        <f t="shared" si="10"/>
        <v>0</v>
      </c>
      <c r="I56" s="132">
        <f t="shared" si="11"/>
        <v>0</v>
      </c>
      <c r="J56" s="12">
        <f t="shared" si="12"/>
        <v>0</v>
      </c>
      <c r="K56" s="13">
        <f t="shared" si="13"/>
        <v>0</v>
      </c>
    </row>
    <row r="57" spans="1:11" s="1" customFormat="1" ht="13.5" thickBot="1">
      <c r="A57" s="4"/>
      <c r="B57" s="38" t="s">
        <v>33</v>
      </c>
      <c r="C57" s="152"/>
      <c r="D57" s="12">
        <f t="shared" si="7"/>
        <v>0</v>
      </c>
      <c r="E57" s="32">
        <f t="shared" si="8"/>
        <v>0</v>
      </c>
      <c r="F57" s="139"/>
      <c r="G57" s="12">
        <f t="shared" si="9"/>
        <v>0</v>
      </c>
      <c r="H57" s="32">
        <f t="shared" si="10"/>
        <v>0</v>
      </c>
      <c r="I57" s="132">
        <f t="shared" si="11"/>
        <v>0</v>
      </c>
      <c r="J57" s="12">
        <f t="shared" si="12"/>
        <v>0</v>
      </c>
      <c r="K57" s="13">
        <f t="shared" si="13"/>
        <v>0</v>
      </c>
    </row>
    <row r="58" spans="1:11" s="6" customFormat="1" ht="18.75" customHeight="1" thickBot="1">
      <c r="A58" s="82"/>
      <c r="B58" s="83" t="s">
        <v>22</v>
      </c>
      <c r="C58" s="148">
        <f>C48+C47+C46+C43+C38+C34+C33+C32+C27+C22+C18+C17+C16+C14+C13+C11+C10+C8+C5</f>
        <v>23</v>
      </c>
      <c r="D58" s="215">
        <f t="shared" si="7"/>
        <v>0.6263616557734205</v>
      </c>
      <c r="E58" s="33"/>
      <c r="F58" s="145">
        <f>F48+F47+F46+F43+F38+F34+F33+F32+F27+F22+F18+F17+F16+F14+F13+F11+F10+F8+F5</f>
        <v>512</v>
      </c>
      <c r="G58" s="216">
        <f t="shared" si="9"/>
        <v>2.4744699463059354</v>
      </c>
      <c r="H58" s="33"/>
      <c r="I58" s="145">
        <f>I48+I47+I46+I43+I38+I34+I33+I32+I27+I22+I18+I17+I16+I14+I13+I11+I10+I8+I5</f>
        <v>535</v>
      </c>
      <c r="J58" s="216">
        <f t="shared" si="12"/>
        <v>2.1959258392746466</v>
      </c>
      <c r="K58" s="11"/>
    </row>
    <row r="59" spans="1:11" s="6" customFormat="1" ht="22.5" customHeight="1">
      <c r="A59" s="15"/>
      <c r="B59" s="235"/>
      <c r="C59" s="235"/>
      <c r="D59" s="235"/>
      <c r="E59" s="235"/>
      <c r="F59" s="235"/>
      <c r="G59" s="235"/>
      <c r="H59" s="235"/>
      <c r="I59" s="236"/>
      <c r="J59" s="236"/>
      <c r="K59" s="236"/>
    </row>
  </sheetData>
  <sheetProtection/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75" zoomScaleNormal="75" zoomScalePageLayoutView="0" workbookViewId="0" topLeftCell="A1">
      <pane xSplit="1" ySplit="4" topLeftCell="B29" activePane="bottomRight" state="frozen"/>
      <selection pane="topLeft" activeCell="C7" sqref="C7"/>
      <selection pane="topRight" activeCell="C7" sqref="C7"/>
      <selection pane="bottomLeft" activeCell="C7" sqref="C7"/>
      <selection pane="bottomRight" activeCell="G39" sqref="G39:G40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37" t="s">
        <v>96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20.25" customHeight="1" thickBot="1">
      <c r="A2" s="21"/>
      <c r="B2" s="22"/>
      <c r="C2" s="2"/>
      <c r="D2" s="229">
        <v>36720</v>
      </c>
      <c r="E2" s="23"/>
      <c r="F2" s="23"/>
      <c r="G2" s="229">
        <f>J2-D2</f>
        <v>206913</v>
      </c>
      <c r="H2" s="2"/>
      <c r="I2" s="2"/>
      <c r="J2" s="229">
        <v>243633</v>
      </c>
      <c r="K2" s="2"/>
    </row>
    <row r="3" spans="1:11" ht="12.75">
      <c r="A3" s="239" t="s">
        <v>24</v>
      </c>
      <c r="B3" s="241" t="s">
        <v>5</v>
      </c>
      <c r="C3" s="130" t="s">
        <v>1</v>
      </c>
      <c r="D3" s="129"/>
      <c r="E3" s="129"/>
      <c r="F3" s="130" t="s">
        <v>2</v>
      </c>
      <c r="G3" s="129"/>
      <c r="H3" s="129"/>
      <c r="I3" s="130" t="s">
        <v>3</v>
      </c>
      <c r="J3" s="129"/>
      <c r="K3" s="131"/>
    </row>
    <row r="4" spans="1:11" ht="33.75" customHeight="1" thickBot="1">
      <c r="A4" s="250"/>
      <c r="B4" s="242"/>
      <c r="C4" s="126" t="s">
        <v>6</v>
      </c>
      <c r="D4" s="124" t="s">
        <v>7</v>
      </c>
      <c r="E4" s="125" t="s">
        <v>8</v>
      </c>
      <c r="F4" s="126" t="s">
        <v>6</v>
      </c>
      <c r="G4" s="124" t="s">
        <v>7</v>
      </c>
      <c r="H4" s="125" t="s">
        <v>8</v>
      </c>
      <c r="I4" s="126" t="s">
        <v>6</v>
      </c>
      <c r="J4" s="124" t="s">
        <v>7</v>
      </c>
      <c r="K4" s="127" t="s">
        <v>8</v>
      </c>
    </row>
    <row r="5" spans="1:11" ht="16.5" customHeight="1" thickBot="1">
      <c r="A5" s="90" t="s">
        <v>9</v>
      </c>
      <c r="B5" s="154" t="s">
        <v>26</v>
      </c>
      <c r="C5" s="145"/>
      <c r="D5" s="94">
        <f aca="true" t="shared" si="0" ref="D5:D36">C5*1000/$D$2</f>
        <v>0</v>
      </c>
      <c r="E5" s="95">
        <f aca="true" t="shared" si="1" ref="E5:E36">IF(C$58=0,0,C5*100/C$58)</f>
        <v>0</v>
      </c>
      <c r="F5" s="135">
        <v>46</v>
      </c>
      <c r="G5" s="94">
        <f aca="true" t="shared" si="2" ref="G5:G36">F5*1000/$G$2</f>
        <v>0.2223156592384239</v>
      </c>
      <c r="H5" s="95">
        <f aca="true" t="shared" si="3" ref="H5:H36">F5*100/F$58</f>
        <v>4.397705544933078</v>
      </c>
      <c r="I5" s="145">
        <f aca="true" t="shared" si="4" ref="I5:I36">SUM(C5,F5)</f>
        <v>46</v>
      </c>
      <c r="J5" s="94">
        <f aca="true" t="shared" si="5" ref="J5:J36">I5*1000/$J$2</f>
        <v>0.18880857683482943</v>
      </c>
      <c r="K5" s="97">
        <f aca="true" t="shared" si="6" ref="K5:K36">I5*100/I$58</f>
        <v>4.397705544933078</v>
      </c>
    </row>
    <row r="6" spans="1:11" s="1" customFormat="1" ht="12.75" customHeight="1">
      <c r="A6" s="4"/>
      <c r="B6" s="40" t="s">
        <v>36</v>
      </c>
      <c r="C6" s="146"/>
      <c r="D6" s="18">
        <f t="shared" si="0"/>
        <v>0</v>
      </c>
      <c r="E6" s="31">
        <f t="shared" si="1"/>
        <v>0</v>
      </c>
      <c r="F6" s="138"/>
      <c r="G6" s="18">
        <f t="shared" si="2"/>
        <v>0</v>
      </c>
      <c r="H6" s="31">
        <f t="shared" si="3"/>
        <v>0</v>
      </c>
      <c r="I6" s="138">
        <f t="shared" si="4"/>
        <v>0</v>
      </c>
      <c r="J6" s="18">
        <f t="shared" si="5"/>
        <v>0</v>
      </c>
      <c r="K6" s="19">
        <f t="shared" si="6"/>
        <v>0</v>
      </c>
    </row>
    <row r="7" spans="1:11" s="1" customFormat="1" ht="14.25" customHeight="1" thickBot="1">
      <c r="A7" s="4"/>
      <c r="B7" s="39" t="s">
        <v>37</v>
      </c>
      <c r="C7" s="147"/>
      <c r="D7" s="12">
        <f t="shared" si="0"/>
        <v>0</v>
      </c>
      <c r="E7" s="32">
        <f t="shared" si="1"/>
        <v>0</v>
      </c>
      <c r="F7" s="133">
        <v>46</v>
      </c>
      <c r="G7" s="14">
        <f t="shared" si="2"/>
        <v>0.2223156592384239</v>
      </c>
      <c r="H7" s="35">
        <f t="shared" si="3"/>
        <v>4.397705544933078</v>
      </c>
      <c r="I7" s="140">
        <f t="shared" si="4"/>
        <v>46</v>
      </c>
      <c r="J7" s="14">
        <f t="shared" si="5"/>
        <v>0.18880857683482943</v>
      </c>
      <c r="K7" s="13">
        <f t="shared" si="6"/>
        <v>4.397705544933078</v>
      </c>
    </row>
    <row r="8" spans="1:11" ht="13.5" customHeight="1" thickBot="1">
      <c r="A8" s="90" t="s">
        <v>10</v>
      </c>
      <c r="B8" s="100" t="s">
        <v>38</v>
      </c>
      <c r="C8" s="148"/>
      <c r="D8" s="94">
        <f t="shared" si="0"/>
        <v>0</v>
      </c>
      <c r="E8" s="95">
        <f t="shared" si="1"/>
        <v>0</v>
      </c>
      <c r="F8" s="135">
        <f>23+14</f>
        <v>37</v>
      </c>
      <c r="G8" s="94">
        <f t="shared" si="2"/>
        <v>0.17881911721351487</v>
      </c>
      <c r="H8" s="95">
        <f t="shared" si="3"/>
        <v>3.537284894837476</v>
      </c>
      <c r="I8" s="145">
        <f t="shared" si="4"/>
        <v>37</v>
      </c>
      <c r="J8" s="94">
        <f t="shared" si="5"/>
        <v>0.15186776832366716</v>
      </c>
      <c r="K8" s="97">
        <f t="shared" si="6"/>
        <v>3.537284894837476</v>
      </c>
    </row>
    <row r="9" spans="1:11" s="1" customFormat="1" ht="15" customHeight="1" thickBot="1">
      <c r="A9" s="16"/>
      <c r="B9" s="40" t="s">
        <v>39</v>
      </c>
      <c r="C9" s="146"/>
      <c r="D9" s="18">
        <f t="shared" si="0"/>
        <v>0</v>
      </c>
      <c r="E9" s="31">
        <f t="shared" si="1"/>
        <v>0</v>
      </c>
      <c r="F9" s="133">
        <v>37</v>
      </c>
      <c r="G9" s="18">
        <f t="shared" si="2"/>
        <v>0.17881911721351487</v>
      </c>
      <c r="H9" s="31">
        <f t="shared" si="3"/>
        <v>3.537284894837476</v>
      </c>
      <c r="I9" s="138">
        <f t="shared" si="4"/>
        <v>37</v>
      </c>
      <c r="J9" s="18">
        <f t="shared" si="5"/>
        <v>0.15186776832366716</v>
      </c>
      <c r="K9" s="19">
        <f t="shared" si="6"/>
        <v>3.537284894837476</v>
      </c>
    </row>
    <row r="10" spans="1:11" s="6" customFormat="1" ht="15.75" customHeight="1" thickBot="1">
      <c r="A10" s="91" t="s">
        <v>11</v>
      </c>
      <c r="B10" s="92" t="s">
        <v>40</v>
      </c>
      <c r="C10" s="148"/>
      <c r="D10" s="94">
        <f t="shared" si="0"/>
        <v>0</v>
      </c>
      <c r="E10" s="95">
        <f t="shared" si="1"/>
        <v>0</v>
      </c>
      <c r="F10" s="135"/>
      <c r="G10" s="94">
        <f t="shared" si="2"/>
        <v>0</v>
      </c>
      <c r="H10" s="95">
        <f t="shared" si="3"/>
        <v>0</v>
      </c>
      <c r="I10" s="145">
        <f t="shared" si="4"/>
        <v>0</v>
      </c>
      <c r="J10" s="94">
        <f t="shared" si="5"/>
        <v>0</v>
      </c>
      <c r="K10" s="97">
        <f t="shared" si="6"/>
        <v>0</v>
      </c>
    </row>
    <row r="11" spans="1:11" s="6" customFormat="1" ht="30" customHeight="1" thickBot="1">
      <c r="A11" s="98" t="s">
        <v>12</v>
      </c>
      <c r="B11" s="92" t="s">
        <v>41</v>
      </c>
      <c r="C11" s="148"/>
      <c r="D11" s="94">
        <f t="shared" si="0"/>
        <v>0</v>
      </c>
      <c r="E11" s="95">
        <f t="shared" si="1"/>
        <v>0</v>
      </c>
      <c r="F11" s="135"/>
      <c r="G11" s="94">
        <f t="shared" si="2"/>
        <v>0</v>
      </c>
      <c r="H11" s="95">
        <f t="shared" si="3"/>
        <v>0</v>
      </c>
      <c r="I11" s="145">
        <f t="shared" si="4"/>
        <v>0</v>
      </c>
      <c r="J11" s="94">
        <f t="shared" si="5"/>
        <v>0</v>
      </c>
      <c r="K11" s="97">
        <f t="shared" si="6"/>
        <v>0</v>
      </c>
    </row>
    <row r="12" spans="1:11" s="6" customFormat="1" ht="16.5" customHeight="1" thickBot="1">
      <c r="A12" s="17"/>
      <c r="B12" s="41" t="s">
        <v>78</v>
      </c>
      <c r="C12" s="149"/>
      <c r="D12" s="29">
        <f t="shared" si="0"/>
        <v>0</v>
      </c>
      <c r="E12" s="34">
        <f t="shared" si="1"/>
        <v>0</v>
      </c>
      <c r="F12" s="133"/>
      <c r="G12" s="29">
        <f t="shared" si="2"/>
        <v>0</v>
      </c>
      <c r="H12" s="34">
        <f t="shared" si="3"/>
        <v>0</v>
      </c>
      <c r="I12" s="133">
        <f t="shared" si="4"/>
        <v>0</v>
      </c>
      <c r="J12" s="29">
        <f t="shared" si="5"/>
        <v>0</v>
      </c>
      <c r="K12" s="30">
        <f t="shared" si="6"/>
        <v>0</v>
      </c>
    </row>
    <row r="13" spans="1:11" s="6" customFormat="1" ht="15" customHeight="1" thickBot="1">
      <c r="A13" s="99" t="s">
        <v>13</v>
      </c>
      <c r="B13" s="100" t="s">
        <v>42</v>
      </c>
      <c r="C13" s="162"/>
      <c r="D13" s="102">
        <f t="shared" si="0"/>
        <v>0</v>
      </c>
      <c r="E13" s="103">
        <f t="shared" si="1"/>
        <v>0</v>
      </c>
      <c r="F13" s="135"/>
      <c r="G13" s="102">
        <f t="shared" si="2"/>
        <v>0</v>
      </c>
      <c r="H13" s="103">
        <f t="shared" si="3"/>
        <v>0</v>
      </c>
      <c r="I13" s="163">
        <f t="shared" si="4"/>
        <v>0</v>
      </c>
      <c r="J13" s="102">
        <f t="shared" si="5"/>
        <v>0</v>
      </c>
      <c r="K13" s="104">
        <f t="shared" si="6"/>
        <v>0</v>
      </c>
    </row>
    <row r="14" spans="1:11" s="6" customFormat="1" ht="15.75" customHeight="1" thickBot="1">
      <c r="A14" s="98" t="s">
        <v>14</v>
      </c>
      <c r="B14" s="92" t="s">
        <v>43</v>
      </c>
      <c r="C14" s="148"/>
      <c r="D14" s="94">
        <f t="shared" si="0"/>
        <v>0</v>
      </c>
      <c r="E14" s="95">
        <f t="shared" si="1"/>
        <v>0</v>
      </c>
      <c r="F14" s="135"/>
      <c r="G14" s="94">
        <f t="shared" si="2"/>
        <v>0</v>
      </c>
      <c r="H14" s="95">
        <f t="shared" si="3"/>
        <v>0</v>
      </c>
      <c r="I14" s="145">
        <f t="shared" si="4"/>
        <v>0</v>
      </c>
      <c r="J14" s="94">
        <f t="shared" si="5"/>
        <v>0</v>
      </c>
      <c r="K14" s="113">
        <f t="shared" si="6"/>
        <v>0</v>
      </c>
    </row>
    <row r="15" spans="1:11" s="1" customFormat="1" ht="15.75" customHeight="1" thickBot="1">
      <c r="A15" s="4"/>
      <c r="B15" s="42" t="s">
        <v>44</v>
      </c>
      <c r="C15" s="150"/>
      <c r="D15" s="14">
        <f t="shared" si="0"/>
        <v>0</v>
      </c>
      <c r="E15" s="35">
        <f t="shared" si="1"/>
        <v>0</v>
      </c>
      <c r="F15" s="133"/>
      <c r="G15" s="14">
        <f t="shared" si="2"/>
        <v>0</v>
      </c>
      <c r="H15" s="35">
        <f t="shared" si="3"/>
        <v>0</v>
      </c>
      <c r="I15" s="140">
        <f t="shared" si="4"/>
        <v>0</v>
      </c>
      <c r="J15" s="14">
        <f t="shared" si="5"/>
        <v>0</v>
      </c>
      <c r="K15" s="20">
        <f t="shared" si="6"/>
        <v>0</v>
      </c>
    </row>
    <row r="16" spans="1:11" s="1" customFormat="1" ht="16.5" customHeight="1" thickBot="1">
      <c r="A16" s="105" t="s">
        <v>15</v>
      </c>
      <c r="B16" s="100" t="s">
        <v>27</v>
      </c>
      <c r="C16" s="151"/>
      <c r="D16" s="107">
        <f t="shared" si="0"/>
        <v>0</v>
      </c>
      <c r="E16" s="108">
        <f t="shared" si="1"/>
        <v>0</v>
      </c>
      <c r="F16" s="135"/>
      <c r="G16" s="107">
        <f t="shared" si="2"/>
        <v>0</v>
      </c>
      <c r="H16" s="108">
        <f t="shared" si="3"/>
        <v>0</v>
      </c>
      <c r="I16" s="135">
        <f t="shared" si="4"/>
        <v>0</v>
      </c>
      <c r="J16" s="107">
        <f t="shared" si="5"/>
        <v>0</v>
      </c>
      <c r="K16" s="109">
        <f t="shared" si="6"/>
        <v>0</v>
      </c>
    </row>
    <row r="17" spans="1:11" s="6" customFormat="1" ht="18" customHeight="1" thickBot="1">
      <c r="A17" s="110" t="s">
        <v>16</v>
      </c>
      <c r="B17" s="92" t="s">
        <v>45</v>
      </c>
      <c r="C17" s="148"/>
      <c r="D17" s="94">
        <f t="shared" si="0"/>
        <v>0</v>
      </c>
      <c r="E17" s="95">
        <f t="shared" si="1"/>
        <v>0</v>
      </c>
      <c r="F17" s="137"/>
      <c r="G17" s="94">
        <f t="shared" si="2"/>
        <v>0</v>
      </c>
      <c r="H17" s="95">
        <f t="shared" si="3"/>
        <v>0</v>
      </c>
      <c r="I17" s="145">
        <f t="shared" si="4"/>
        <v>0</v>
      </c>
      <c r="J17" s="94">
        <f t="shared" si="5"/>
        <v>0</v>
      </c>
      <c r="K17" s="97">
        <f t="shared" si="6"/>
        <v>0</v>
      </c>
    </row>
    <row r="18" spans="1:11" s="6" customFormat="1" ht="18" customHeight="1" thickBot="1">
      <c r="A18" s="98" t="s">
        <v>17</v>
      </c>
      <c r="B18" s="156" t="s">
        <v>46</v>
      </c>
      <c r="C18" s="148"/>
      <c r="D18" s="94">
        <f t="shared" si="0"/>
        <v>0</v>
      </c>
      <c r="E18" s="95">
        <f t="shared" si="1"/>
        <v>0</v>
      </c>
      <c r="F18" s="135">
        <v>1</v>
      </c>
      <c r="G18" s="94">
        <f t="shared" si="2"/>
        <v>0.00483294911387878</v>
      </c>
      <c r="H18" s="95">
        <f t="shared" si="3"/>
        <v>0.09560229445506692</v>
      </c>
      <c r="I18" s="145">
        <f t="shared" si="4"/>
        <v>1</v>
      </c>
      <c r="J18" s="94">
        <f t="shared" si="5"/>
        <v>0.004104534279018031</v>
      </c>
      <c r="K18" s="97">
        <f t="shared" si="6"/>
        <v>0.09560229445506692</v>
      </c>
    </row>
    <row r="19" spans="1:11" s="1" customFormat="1" ht="14.25" customHeight="1">
      <c r="A19" s="4"/>
      <c r="B19" s="38" t="s">
        <v>47</v>
      </c>
      <c r="C19" s="146"/>
      <c r="D19" s="18">
        <f t="shared" si="0"/>
        <v>0</v>
      </c>
      <c r="E19" s="31">
        <f t="shared" si="1"/>
        <v>0</v>
      </c>
      <c r="F19" s="138"/>
      <c r="G19" s="18">
        <f t="shared" si="2"/>
        <v>0</v>
      </c>
      <c r="H19" s="31">
        <f t="shared" si="3"/>
        <v>0</v>
      </c>
      <c r="I19" s="138">
        <f t="shared" si="4"/>
        <v>0</v>
      </c>
      <c r="J19" s="18">
        <f t="shared" si="5"/>
        <v>0</v>
      </c>
      <c r="K19" s="19">
        <f t="shared" si="6"/>
        <v>0</v>
      </c>
    </row>
    <row r="20" spans="1:11" s="1" customFormat="1" ht="15.75" customHeight="1">
      <c r="A20" s="4"/>
      <c r="B20" s="38" t="s">
        <v>48</v>
      </c>
      <c r="C20" s="132"/>
      <c r="D20" s="12">
        <f t="shared" si="0"/>
        <v>0</v>
      </c>
      <c r="E20" s="32">
        <f t="shared" si="1"/>
        <v>0</v>
      </c>
      <c r="F20" s="132"/>
      <c r="G20" s="12">
        <f t="shared" si="2"/>
        <v>0</v>
      </c>
      <c r="H20" s="32">
        <f t="shared" si="3"/>
        <v>0</v>
      </c>
      <c r="I20" s="132">
        <f t="shared" si="4"/>
        <v>0</v>
      </c>
      <c r="J20" s="12">
        <f t="shared" si="5"/>
        <v>0</v>
      </c>
      <c r="K20" s="13">
        <f t="shared" si="6"/>
        <v>0</v>
      </c>
    </row>
    <row r="21" spans="1:11" s="1" customFormat="1" ht="16.5" customHeight="1" thickBot="1">
      <c r="A21" s="4"/>
      <c r="B21" s="38" t="s">
        <v>49</v>
      </c>
      <c r="C21" s="132"/>
      <c r="D21" s="12">
        <f t="shared" si="0"/>
        <v>0</v>
      </c>
      <c r="E21" s="32">
        <f t="shared" si="1"/>
        <v>0</v>
      </c>
      <c r="F21" s="133"/>
      <c r="G21" s="12">
        <f t="shared" si="2"/>
        <v>0</v>
      </c>
      <c r="H21" s="32">
        <f t="shared" si="3"/>
        <v>0</v>
      </c>
      <c r="I21" s="132">
        <f t="shared" si="4"/>
        <v>0</v>
      </c>
      <c r="J21" s="12">
        <f t="shared" si="5"/>
        <v>0</v>
      </c>
      <c r="K21" s="13">
        <f t="shared" si="6"/>
        <v>0</v>
      </c>
    </row>
    <row r="22" spans="1:11" s="6" customFormat="1" ht="15.75" customHeight="1" thickBot="1">
      <c r="A22" s="98" t="s">
        <v>28</v>
      </c>
      <c r="B22" s="92" t="s">
        <v>50</v>
      </c>
      <c r="C22" s="148"/>
      <c r="D22" s="94">
        <f t="shared" si="0"/>
        <v>0</v>
      </c>
      <c r="E22" s="95">
        <f t="shared" si="1"/>
        <v>0</v>
      </c>
      <c r="F22" s="135">
        <f>529+419+8</f>
        <v>956</v>
      </c>
      <c r="G22" s="94">
        <f t="shared" si="2"/>
        <v>4.6202993528681136</v>
      </c>
      <c r="H22" s="95">
        <f t="shared" si="3"/>
        <v>91.39579349904398</v>
      </c>
      <c r="I22" s="145">
        <f t="shared" si="4"/>
        <v>956</v>
      </c>
      <c r="J22" s="94">
        <f t="shared" si="5"/>
        <v>3.923934770741238</v>
      </c>
      <c r="K22" s="97">
        <f t="shared" si="6"/>
        <v>91.39579349904398</v>
      </c>
    </row>
    <row r="23" spans="1:11" s="1" customFormat="1" ht="15.75" customHeight="1">
      <c r="A23" s="4"/>
      <c r="B23" s="40" t="s">
        <v>51</v>
      </c>
      <c r="C23" s="146"/>
      <c r="D23" s="18">
        <f t="shared" si="0"/>
        <v>0</v>
      </c>
      <c r="E23" s="31">
        <f t="shared" si="1"/>
        <v>0</v>
      </c>
      <c r="F23" s="138"/>
      <c r="G23" s="18">
        <f t="shared" si="2"/>
        <v>0</v>
      </c>
      <c r="H23" s="31">
        <f t="shared" si="3"/>
        <v>0</v>
      </c>
      <c r="I23" s="138">
        <f t="shared" si="4"/>
        <v>0</v>
      </c>
      <c r="J23" s="18">
        <f t="shared" si="5"/>
        <v>0</v>
      </c>
      <c r="K23" s="19">
        <f t="shared" si="6"/>
        <v>0</v>
      </c>
    </row>
    <row r="24" spans="1:11" s="1" customFormat="1" ht="14.25" customHeight="1">
      <c r="A24" s="4"/>
      <c r="B24" s="38" t="s">
        <v>52</v>
      </c>
      <c r="C24" s="147"/>
      <c r="D24" s="12">
        <f t="shared" si="0"/>
        <v>0</v>
      </c>
      <c r="E24" s="32">
        <f t="shared" si="1"/>
        <v>0</v>
      </c>
      <c r="F24" s="132">
        <f>194+134+3</f>
        <v>331</v>
      </c>
      <c r="G24" s="12">
        <f t="shared" si="2"/>
        <v>1.5997061566938762</v>
      </c>
      <c r="H24" s="32">
        <f t="shared" si="3"/>
        <v>31.64435946462715</v>
      </c>
      <c r="I24" s="132">
        <f t="shared" si="4"/>
        <v>331</v>
      </c>
      <c r="J24" s="12">
        <f t="shared" si="5"/>
        <v>1.3586008463549684</v>
      </c>
      <c r="K24" s="13">
        <f t="shared" si="6"/>
        <v>31.64435946462715</v>
      </c>
    </row>
    <row r="25" spans="1:11" s="1" customFormat="1" ht="15.75" customHeight="1">
      <c r="A25" s="4"/>
      <c r="B25" s="38" t="s">
        <v>85</v>
      </c>
      <c r="C25" s="147"/>
      <c r="D25" s="12">
        <f t="shared" si="0"/>
        <v>0</v>
      </c>
      <c r="E25" s="32">
        <f t="shared" si="1"/>
        <v>0</v>
      </c>
      <c r="F25" s="132">
        <f>105+162+1</f>
        <v>268</v>
      </c>
      <c r="G25" s="12">
        <f t="shared" si="2"/>
        <v>1.295230362519513</v>
      </c>
      <c r="H25" s="32">
        <f t="shared" si="3"/>
        <v>25.621414913957935</v>
      </c>
      <c r="I25" s="132">
        <f t="shared" si="4"/>
        <v>268</v>
      </c>
      <c r="J25" s="12">
        <f t="shared" si="5"/>
        <v>1.1000151867768324</v>
      </c>
      <c r="K25" s="13">
        <f t="shared" si="6"/>
        <v>25.621414913957935</v>
      </c>
    </row>
    <row r="26" spans="1:11" s="1" customFormat="1" ht="13.5" thickBot="1">
      <c r="A26" s="4"/>
      <c r="B26" s="38" t="s">
        <v>86</v>
      </c>
      <c r="C26" s="147"/>
      <c r="D26" s="12">
        <f t="shared" si="0"/>
        <v>0</v>
      </c>
      <c r="E26" s="32">
        <f t="shared" si="1"/>
        <v>0</v>
      </c>
      <c r="F26" s="133">
        <f>29+5</f>
        <v>34</v>
      </c>
      <c r="G26" s="12">
        <f t="shared" si="2"/>
        <v>0.16432026987187853</v>
      </c>
      <c r="H26" s="32">
        <f t="shared" si="3"/>
        <v>3.2504780114722753</v>
      </c>
      <c r="I26" s="132">
        <f t="shared" si="4"/>
        <v>34</v>
      </c>
      <c r="J26" s="12">
        <f t="shared" si="5"/>
        <v>0.13955416548661306</v>
      </c>
      <c r="K26" s="13">
        <f t="shared" si="6"/>
        <v>3.2504780114722753</v>
      </c>
    </row>
    <row r="27" spans="1:11" s="6" customFormat="1" ht="14.25" customHeight="1" thickBot="1">
      <c r="A27" s="98" t="s">
        <v>18</v>
      </c>
      <c r="B27" s="92" t="s">
        <v>53</v>
      </c>
      <c r="C27" s="148"/>
      <c r="D27" s="94">
        <f t="shared" si="0"/>
        <v>0</v>
      </c>
      <c r="E27" s="95">
        <f t="shared" si="1"/>
        <v>0</v>
      </c>
      <c r="F27" s="135"/>
      <c r="G27" s="94">
        <f t="shared" si="2"/>
        <v>0</v>
      </c>
      <c r="H27" s="95">
        <f t="shared" si="3"/>
        <v>0</v>
      </c>
      <c r="I27" s="145">
        <f t="shared" si="4"/>
        <v>0</v>
      </c>
      <c r="J27" s="94">
        <f t="shared" si="5"/>
        <v>0</v>
      </c>
      <c r="K27" s="97">
        <f t="shared" si="6"/>
        <v>0</v>
      </c>
    </row>
    <row r="28" spans="1:11" s="1" customFormat="1" ht="15" customHeight="1">
      <c r="A28" s="4"/>
      <c r="B28" s="40" t="s">
        <v>54</v>
      </c>
      <c r="C28" s="146"/>
      <c r="D28" s="18">
        <f t="shared" si="0"/>
        <v>0</v>
      </c>
      <c r="E28" s="31">
        <f t="shared" si="1"/>
        <v>0</v>
      </c>
      <c r="F28" s="138"/>
      <c r="G28" s="18">
        <f t="shared" si="2"/>
        <v>0</v>
      </c>
      <c r="H28" s="31">
        <f t="shared" si="3"/>
        <v>0</v>
      </c>
      <c r="I28" s="138">
        <f t="shared" si="4"/>
        <v>0</v>
      </c>
      <c r="J28" s="18">
        <f t="shared" si="5"/>
        <v>0</v>
      </c>
      <c r="K28" s="19">
        <f t="shared" si="6"/>
        <v>0</v>
      </c>
    </row>
    <row r="29" spans="1:11" s="1" customFormat="1" ht="15" customHeight="1">
      <c r="A29" s="4"/>
      <c r="B29" s="38" t="s">
        <v>55</v>
      </c>
      <c r="C29" s="147"/>
      <c r="D29" s="12">
        <f t="shared" si="0"/>
        <v>0</v>
      </c>
      <c r="E29" s="32">
        <f t="shared" si="1"/>
        <v>0</v>
      </c>
      <c r="F29" s="132"/>
      <c r="G29" s="12">
        <f t="shared" si="2"/>
        <v>0</v>
      </c>
      <c r="H29" s="32">
        <f t="shared" si="3"/>
        <v>0</v>
      </c>
      <c r="I29" s="132">
        <f t="shared" si="4"/>
        <v>0</v>
      </c>
      <c r="J29" s="12">
        <f t="shared" si="5"/>
        <v>0</v>
      </c>
      <c r="K29" s="13">
        <f t="shared" si="6"/>
        <v>0</v>
      </c>
    </row>
    <row r="30" spans="1:11" s="1" customFormat="1" ht="12.75">
      <c r="A30" s="4"/>
      <c r="B30" s="38" t="s">
        <v>56</v>
      </c>
      <c r="C30" s="147"/>
      <c r="D30" s="12">
        <f t="shared" si="0"/>
        <v>0</v>
      </c>
      <c r="E30" s="32">
        <f t="shared" si="1"/>
        <v>0</v>
      </c>
      <c r="F30" s="139"/>
      <c r="G30" s="12">
        <f t="shared" si="2"/>
        <v>0</v>
      </c>
      <c r="H30" s="32">
        <f t="shared" si="3"/>
        <v>0</v>
      </c>
      <c r="I30" s="132">
        <f t="shared" si="4"/>
        <v>0</v>
      </c>
      <c r="J30" s="12">
        <f t="shared" si="5"/>
        <v>0</v>
      </c>
      <c r="K30" s="13">
        <f t="shared" si="6"/>
        <v>0</v>
      </c>
    </row>
    <row r="31" spans="1:11" s="1" customFormat="1" ht="18" customHeight="1" thickBot="1">
      <c r="A31" s="5"/>
      <c r="B31" s="38" t="s">
        <v>57</v>
      </c>
      <c r="C31" s="147"/>
      <c r="D31" s="12">
        <f t="shared" si="0"/>
        <v>0</v>
      </c>
      <c r="E31" s="32">
        <f t="shared" si="1"/>
        <v>0</v>
      </c>
      <c r="F31" s="136"/>
      <c r="G31" s="12">
        <f t="shared" si="2"/>
        <v>0</v>
      </c>
      <c r="H31" s="32">
        <f t="shared" si="3"/>
        <v>0</v>
      </c>
      <c r="I31" s="132">
        <f t="shared" si="4"/>
        <v>0</v>
      </c>
      <c r="J31" s="12">
        <f t="shared" si="5"/>
        <v>0</v>
      </c>
      <c r="K31" s="13">
        <f t="shared" si="6"/>
        <v>0</v>
      </c>
    </row>
    <row r="32" spans="1:11" s="1" customFormat="1" ht="16.5" customHeight="1" thickBot="1">
      <c r="A32" s="99" t="s">
        <v>75</v>
      </c>
      <c r="B32" s="92" t="s">
        <v>61</v>
      </c>
      <c r="C32" s="148"/>
      <c r="D32" s="94">
        <f t="shared" si="0"/>
        <v>0</v>
      </c>
      <c r="E32" s="95">
        <f t="shared" si="1"/>
        <v>0</v>
      </c>
      <c r="F32" s="135"/>
      <c r="G32" s="94">
        <f t="shared" si="2"/>
        <v>0</v>
      </c>
      <c r="H32" s="95">
        <f t="shared" si="3"/>
        <v>0</v>
      </c>
      <c r="I32" s="145">
        <f t="shared" si="4"/>
        <v>0</v>
      </c>
      <c r="J32" s="94">
        <f t="shared" si="5"/>
        <v>0</v>
      </c>
      <c r="K32" s="97">
        <f t="shared" si="6"/>
        <v>0</v>
      </c>
    </row>
    <row r="33" spans="1:11" s="1" customFormat="1" ht="26.25" thickBot="1">
      <c r="A33" s="99" t="s">
        <v>76</v>
      </c>
      <c r="B33" s="92" t="s">
        <v>62</v>
      </c>
      <c r="C33" s="148"/>
      <c r="D33" s="94">
        <f t="shared" si="0"/>
        <v>0</v>
      </c>
      <c r="E33" s="95">
        <f t="shared" si="1"/>
        <v>0</v>
      </c>
      <c r="F33" s="135"/>
      <c r="G33" s="94">
        <f t="shared" si="2"/>
        <v>0</v>
      </c>
      <c r="H33" s="95">
        <f t="shared" si="3"/>
        <v>0</v>
      </c>
      <c r="I33" s="145">
        <f t="shared" si="4"/>
        <v>0</v>
      </c>
      <c r="J33" s="94">
        <f t="shared" si="5"/>
        <v>0</v>
      </c>
      <c r="K33" s="97">
        <f t="shared" si="6"/>
        <v>0</v>
      </c>
    </row>
    <row r="34" spans="1:11" s="6" customFormat="1" ht="21" customHeight="1" thickBot="1">
      <c r="A34" s="98" t="s">
        <v>19</v>
      </c>
      <c r="B34" s="92" t="s">
        <v>58</v>
      </c>
      <c r="C34" s="148"/>
      <c r="D34" s="94">
        <f t="shared" si="0"/>
        <v>0</v>
      </c>
      <c r="E34" s="95">
        <f t="shared" si="1"/>
        <v>0</v>
      </c>
      <c r="F34" s="135"/>
      <c r="G34" s="94">
        <f t="shared" si="2"/>
        <v>0</v>
      </c>
      <c r="H34" s="95">
        <f t="shared" si="3"/>
        <v>0</v>
      </c>
      <c r="I34" s="145">
        <f t="shared" si="4"/>
        <v>0</v>
      </c>
      <c r="J34" s="94">
        <f t="shared" si="5"/>
        <v>0</v>
      </c>
      <c r="K34" s="97">
        <f t="shared" si="6"/>
        <v>0</v>
      </c>
    </row>
    <row r="35" spans="1:11" s="1" customFormat="1" ht="12.75">
      <c r="A35" s="4"/>
      <c r="B35" s="40" t="s">
        <v>59</v>
      </c>
      <c r="C35" s="146"/>
      <c r="D35" s="25">
        <f t="shared" si="0"/>
        <v>0</v>
      </c>
      <c r="E35" s="36">
        <f t="shared" si="1"/>
        <v>0</v>
      </c>
      <c r="F35" s="138"/>
      <c r="G35" s="25">
        <f t="shared" si="2"/>
        <v>0</v>
      </c>
      <c r="H35" s="36">
        <f t="shared" si="3"/>
        <v>0</v>
      </c>
      <c r="I35" s="138">
        <f t="shared" si="4"/>
        <v>0</v>
      </c>
      <c r="J35" s="25">
        <f t="shared" si="5"/>
        <v>0</v>
      </c>
      <c r="K35" s="26">
        <f t="shared" si="6"/>
        <v>0</v>
      </c>
    </row>
    <row r="36" spans="1:11" s="1" customFormat="1" ht="13.5" customHeight="1">
      <c r="A36" s="4"/>
      <c r="B36" s="43" t="s">
        <v>31</v>
      </c>
      <c r="C36" s="147"/>
      <c r="D36" s="27">
        <f t="shared" si="0"/>
        <v>0</v>
      </c>
      <c r="E36" s="37">
        <f t="shared" si="1"/>
        <v>0</v>
      </c>
      <c r="F36" s="132"/>
      <c r="G36" s="27">
        <f t="shared" si="2"/>
        <v>0</v>
      </c>
      <c r="H36" s="37">
        <f t="shared" si="3"/>
        <v>0</v>
      </c>
      <c r="I36" s="132">
        <f t="shared" si="4"/>
        <v>0</v>
      </c>
      <c r="J36" s="27">
        <f t="shared" si="5"/>
        <v>0</v>
      </c>
      <c r="K36" s="28">
        <f t="shared" si="6"/>
        <v>0</v>
      </c>
    </row>
    <row r="37" spans="1:11" s="1" customFormat="1" ht="12" customHeight="1" thickBot="1">
      <c r="A37" s="16"/>
      <c r="B37" s="38" t="s">
        <v>84</v>
      </c>
      <c r="C37" s="147"/>
      <c r="D37" s="27">
        <f aca="true" t="shared" si="7" ref="D37:D58">C37*1000/$D$2</f>
        <v>0</v>
      </c>
      <c r="E37" s="37">
        <f aca="true" t="shared" si="8" ref="E37:E57">IF(C$58=0,0,C37*100/C$58)</f>
        <v>0</v>
      </c>
      <c r="F37" s="140"/>
      <c r="G37" s="27">
        <f aca="true" t="shared" si="9" ref="G37:G58">F37*1000/$G$2</f>
        <v>0</v>
      </c>
      <c r="H37" s="37">
        <f aca="true" t="shared" si="10" ref="H37:H57">F37*100/F$58</f>
        <v>0</v>
      </c>
      <c r="I37" s="132">
        <f aca="true" t="shared" si="11" ref="I37:I57">SUM(C37,F37)</f>
        <v>0</v>
      </c>
      <c r="J37" s="27">
        <f aca="true" t="shared" si="12" ref="J37:J58">I37*1000/$J$2</f>
        <v>0</v>
      </c>
      <c r="K37" s="28">
        <f aca="true" t="shared" si="13" ref="K37:K57">I37*100/I$58</f>
        <v>0</v>
      </c>
    </row>
    <row r="38" spans="1:11" s="6" customFormat="1" ht="21" customHeight="1" thickBot="1">
      <c r="A38" s="98" t="s">
        <v>20</v>
      </c>
      <c r="B38" s="92" t="s">
        <v>32</v>
      </c>
      <c r="C38" s="148"/>
      <c r="D38" s="94">
        <f t="shared" si="7"/>
        <v>0</v>
      </c>
      <c r="E38" s="95">
        <f t="shared" si="8"/>
        <v>0</v>
      </c>
      <c r="F38" s="135"/>
      <c r="G38" s="94">
        <f t="shared" si="9"/>
        <v>0</v>
      </c>
      <c r="H38" s="95">
        <f t="shared" si="10"/>
        <v>0</v>
      </c>
      <c r="I38" s="145">
        <f t="shared" si="11"/>
        <v>0</v>
      </c>
      <c r="J38" s="94">
        <f t="shared" si="12"/>
        <v>0</v>
      </c>
      <c r="K38" s="113">
        <f t="shared" si="13"/>
        <v>0</v>
      </c>
    </row>
    <row r="39" spans="1:11" s="1" customFormat="1" ht="12.75">
      <c r="A39" s="4"/>
      <c r="B39" s="40" t="s">
        <v>60</v>
      </c>
      <c r="C39" s="146"/>
      <c r="D39" s="18">
        <f t="shared" si="7"/>
        <v>0</v>
      </c>
      <c r="E39" s="31">
        <f t="shared" si="8"/>
        <v>0</v>
      </c>
      <c r="F39" s="138"/>
      <c r="G39" s="18">
        <f t="shared" si="9"/>
        <v>0</v>
      </c>
      <c r="H39" s="31">
        <f t="shared" si="10"/>
        <v>0</v>
      </c>
      <c r="I39" s="138">
        <f t="shared" si="11"/>
        <v>0</v>
      </c>
      <c r="J39" s="18">
        <f t="shared" si="12"/>
        <v>0</v>
      </c>
      <c r="K39" s="19">
        <f t="shared" si="13"/>
        <v>0</v>
      </c>
    </row>
    <row r="40" spans="1:11" s="1" customFormat="1" ht="12.75">
      <c r="A40" s="4"/>
      <c r="B40" s="38" t="s">
        <v>34</v>
      </c>
      <c r="C40" s="147"/>
      <c r="D40" s="12">
        <f t="shared" si="7"/>
        <v>0</v>
      </c>
      <c r="E40" s="32">
        <f t="shared" si="8"/>
        <v>0</v>
      </c>
      <c r="F40" s="132"/>
      <c r="G40" s="12">
        <f t="shared" si="9"/>
        <v>0</v>
      </c>
      <c r="H40" s="32">
        <f t="shared" si="10"/>
        <v>0</v>
      </c>
      <c r="I40" s="132">
        <f t="shared" si="11"/>
        <v>0</v>
      </c>
      <c r="J40" s="12">
        <f t="shared" si="12"/>
        <v>0</v>
      </c>
      <c r="K40" s="13">
        <f t="shared" si="13"/>
        <v>0</v>
      </c>
    </row>
    <row r="41" spans="1:11" s="1" customFormat="1" ht="12.75">
      <c r="A41" s="4"/>
      <c r="B41" s="38" t="s">
        <v>25</v>
      </c>
      <c r="C41" s="147"/>
      <c r="D41" s="12">
        <f t="shared" si="7"/>
        <v>0</v>
      </c>
      <c r="E41" s="32">
        <f t="shared" si="8"/>
        <v>0</v>
      </c>
      <c r="F41" s="132"/>
      <c r="G41" s="12">
        <f t="shared" si="9"/>
        <v>0</v>
      </c>
      <c r="H41" s="32">
        <f t="shared" si="10"/>
        <v>0</v>
      </c>
      <c r="I41" s="132">
        <f t="shared" si="11"/>
        <v>0</v>
      </c>
      <c r="J41" s="12">
        <f t="shared" si="12"/>
        <v>0</v>
      </c>
      <c r="K41" s="13">
        <f t="shared" si="13"/>
        <v>0</v>
      </c>
    </row>
    <row r="42" spans="1:11" s="1" customFormat="1" ht="13.5" thickBot="1">
      <c r="A42" s="5"/>
      <c r="B42" s="38" t="s">
        <v>35</v>
      </c>
      <c r="C42" s="147"/>
      <c r="D42" s="12">
        <f t="shared" si="7"/>
        <v>0</v>
      </c>
      <c r="E42" s="32">
        <f t="shared" si="8"/>
        <v>0</v>
      </c>
      <c r="F42" s="133"/>
      <c r="G42" s="12">
        <f t="shared" si="9"/>
        <v>0</v>
      </c>
      <c r="H42" s="32">
        <f t="shared" si="10"/>
        <v>0</v>
      </c>
      <c r="I42" s="132">
        <f t="shared" si="11"/>
        <v>0</v>
      </c>
      <c r="J42" s="12">
        <f t="shared" si="12"/>
        <v>0</v>
      </c>
      <c r="K42" s="13">
        <f t="shared" si="13"/>
        <v>0</v>
      </c>
    </row>
    <row r="43" spans="1:11" s="6" customFormat="1" ht="23.25" customHeight="1" thickBot="1">
      <c r="A43" s="98" t="s">
        <v>21</v>
      </c>
      <c r="B43" s="92" t="s">
        <v>64</v>
      </c>
      <c r="C43" s="148"/>
      <c r="D43" s="94">
        <f t="shared" si="7"/>
        <v>0</v>
      </c>
      <c r="E43" s="95">
        <f t="shared" si="8"/>
        <v>0</v>
      </c>
      <c r="F43" s="135"/>
      <c r="G43" s="94">
        <f t="shared" si="9"/>
        <v>0</v>
      </c>
      <c r="H43" s="95">
        <f t="shared" si="10"/>
        <v>0</v>
      </c>
      <c r="I43" s="145">
        <f t="shared" si="11"/>
        <v>0</v>
      </c>
      <c r="J43" s="94">
        <f t="shared" si="12"/>
        <v>0</v>
      </c>
      <c r="K43" s="113">
        <f t="shared" si="13"/>
        <v>0</v>
      </c>
    </row>
    <row r="44" spans="1:11" s="1" customFormat="1" ht="33.75" customHeight="1" thickBot="1">
      <c r="A44" s="9"/>
      <c r="B44" s="161" t="s">
        <v>81</v>
      </c>
      <c r="C44" s="146"/>
      <c r="D44" s="18">
        <f t="shared" si="7"/>
        <v>0</v>
      </c>
      <c r="E44" s="31">
        <f t="shared" si="8"/>
        <v>0</v>
      </c>
      <c r="F44" s="143"/>
      <c r="G44" s="18">
        <f t="shared" si="9"/>
        <v>0</v>
      </c>
      <c r="H44" s="31">
        <f t="shared" si="10"/>
        <v>0</v>
      </c>
      <c r="I44" s="138">
        <f t="shared" si="11"/>
        <v>0</v>
      </c>
      <c r="J44" s="18">
        <f t="shared" si="12"/>
        <v>0</v>
      </c>
      <c r="K44" s="19">
        <f t="shared" si="13"/>
        <v>0</v>
      </c>
    </row>
    <row r="45" spans="1:11" s="1" customFormat="1" ht="16.5" customHeight="1" thickBot="1">
      <c r="A45" s="4"/>
      <c r="B45" s="159" t="s">
        <v>79</v>
      </c>
      <c r="C45" s="147"/>
      <c r="D45" s="12">
        <f t="shared" si="7"/>
        <v>0</v>
      </c>
      <c r="E45" s="32">
        <f t="shared" si="8"/>
        <v>0</v>
      </c>
      <c r="F45" s="141"/>
      <c r="G45" s="12">
        <f t="shared" si="9"/>
        <v>0</v>
      </c>
      <c r="H45" s="32">
        <f t="shared" si="10"/>
        <v>0</v>
      </c>
      <c r="I45" s="132">
        <f t="shared" si="11"/>
        <v>0</v>
      </c>
      <c r="J45" s="12">
        <f t="shared" si="12"/>
        <v>0</v>
      </c>
      <c r="K45" s="13">
        <f t="shared" si="13"/>
        <v>0</v>
      </c>
    </row>
    <row r="46" spans="1:11" s="1" customFormat="1" ht="18" customHeight="1" thickBot="1">
      <c r="A46" s="99" t="s">
        <v>77</v>
      </c>
      <c r="B46" s="92" t="s">
        <v>63</v>
      </c>
      <c r="C46" s="148"/>
      <c r="D46" s="94">
        <f t="shared" si="7"/>
        <v>0</v>
      </c>
      <c r="E46" s="95">
        <f t="shared" si="8"/>
        <v>0</v>
      </c>
      <c r="F46" s="135"/>
      <c r="G46" s="94">
        <f t="shared" si="9"/>
        <v>0</v>
      </c>
      <c r="H46" s="95">
        <f t="shared" si="10"/>
        <v>0</v>
      </c>
      <c r="I46" s="145">
        <f t="shared" si="11"/>
        <v>0</v>
      </c>
      <c r="J46" s="94">
        <f t="shared" si="12"/>
        <v>0</v>
      </c>
      <c r="K46" s="97">
        <f t="shared" si="13"/>
        <v>0</v>
      </c>
    </row>
    <row r="47" spans="1:11" s="6" customFormat="1" ht="21" customHeight="1" thickBot="1">
      <c r="A47" s="99" t="s">
        <v>29</v>
      </c>
      <c r="B47" s="92" t="s">
        <v>65</v>
      </c>
      <c r="C47" s="148"/>
      <c r="D47" s="94">
        <f t="shared" si="7"/>
        <v>0</v>
      </c>
      <c r="E47" s="95">
        <f t="shared" si="8"/>
        <v>0</v>
      </c>
      <c r="F47" s="135">
        <v>6</v>
      </c>
      <c r="G47" s="94">
        <f t="shared" si="9"/>
        <v>0.02899769468327268</v>
      </c>
      <c r="H47" s="95">
        <f t="shared" si="10"/>
        <v>0.5736137667304015</v>
      </c>
      <c r="I47" s="145">
        <f t="shared" si="11"/>
        <v>6</v>
      </c>
      <c r="J47" s="94">
        <f t="shared" si="12"/>
        <v>0.02462720567410819</v>
      </c>
      <c r="K47" s="97">
        <f t="shared" si="13"/>
        <v>0.5736137667304015</v>
      </c>
    </row>
    <row r="48" spans="1:11" s="6" customFormat="1" ht="19.5" customHeight="1" thickBot="1">
      <c r="A48" s="98" t="s">
        <v>30</v>
      </c>
      <c r="B48" s="92" t="s">
        <v>66</v>
      </c>
      <c r="C48" s="148"/>
      <c r="D48" s="94">
        <f t="shared" si="7"/>
        <v>0</v>
      </c>
      <c r="E48" s="95">
        <f t="shared" si="8"/>
        <v>0</v>
      </c>
      <c r="F48" s="135"/>
      <c r="G48" s="94">
        <f t="shared" si="9"/>
        <v>0</v>
      </c>
      <c r="H48" s="95">
        <f t="shared" si="10"/>
        <v>0</v>
      </c>
      <c r="I48" s="145">
        <f t="shared" si="11"/>
        <v>0</v>
      </c>
      <c r="J48" s="94">
        <f t="shared" si="12"/>
        <v>0</v>
      </c>
      <c r="K48" s="97">
        <f t="shared" si="13"/>
        <v>0</v>
      </c>
    </row>
    <row r="49" spans="1:11" s="1" customFormat="1" ht="17.25" customHeight="1">
      <c r="A49" s="4"/>
      <c r="B49" s="40" t="s">
        <v>67</v>
      </c>
      <c r="C49" s="146"/>
      <c r="D49" s="18">
        <f t="shared" si="7"/>
        <v>0</v>
      </c>
      <c r="E49" s="31">
        <f t="shared" si="8"/>
        <v>0</v>
      </c>
      <c r="F49" s="138"/>
      <c r="G49" s="18">
        <f t="shared" si="9"/>
        <v>0</v>
      </c>
      <c r="H49" s="31">
        <f t="shared" si="10"/>
        <v>0</v>
      </c>
      <c r="I49" s="138">
        <f t="shared" si="11"/>
        <v>0</v>
      </c>
      <c r="J49" s="18">
        <f t="shared" si="12"/>
        <v>0</v>
      </c>
      <c r="K49" s="19">
        <f t="shared" si="13"/>
        <v>0</v>
      </c>
    </row>
    <row r="50" spans="1:11" s="1" customFormat="1" ht="12.75">
      <c r="A50" s="4"/>
      <c r="B50" s="38" t="s">
        <v>71</v>
      </c>
      <c r="C50" s="147"/>
      <c r="D50" s="12">
        <f t="shared" si="7"/>
        <v>0</v>
      </c>
      <c r="E50" s="32">
        <f t="shared" si="8"/>
        <v>0</v>
      </c>
      <c r="F50" s="132"/>
      <c r="G50" s="12">
        <f t="shared" si="9"/>
        <v>0</v>
      </c>
      <c r="H50" s="32">
        <f t="shared" si="10"/>
        <v>0</v>
      </c>
      <c r="I50" s="132">
        <f t="shared" si="11"/>
        <v>0</v>
      </c>
      <c r="J50" s="12">
        <f t="shared" si="12"/>
        <v>0</v>
      </c>
      <c r="K50" s="13">
        <f t="shared" si="13"/>
        <v>0</v>
      </c>
    </row>
    <row r="51" spans="1:11" s="1" customFormat="1" ht="15.75" customHeight="1">
      <c r="A51" s="4"/>
      <c r="B51" s="38" t="s">
        <v>68</v>
      </c>
      <c r="C51" s="147"/>
      <c r="D51" s="12">
        <f t="shared" si="7"/>
        <v>0</v>
      </c>
      <c r="E51" s="32">
        <f t="shared" si="8"/>
        <v>0</v>
      </c>
      <c r="F51" s="132"/>
      <c r="G51" s="12">
        <f t="shared" si="9"/>
        <v>0</v>
      </c>
      <c r="H51" s="32">
        <f t="shared" si="10"/>
        <v>0</v>
      </c>
      <c r="I51" s="132">
        <f t="shared" si="11"/>
        <v>0</v>
      </c>
      <c r="J51" s="12">
        <f t="shared" si="12"/>
        <v>0</v>
      </c>
      <c r="K51" s="13">
        <f t="shared" si="13"/>
        <v>0</v>
      </c>
    </row>
    <row r="52" spans="1:11" s="1" customFormat="1" ht="12.75">
      <c r="A52" s="4"/>
      <c r="B52" s="38" t="s">
        <v>72</v>
      </c>
      <c r="C52" s="147"/>
      <c r="D52" s="12">
        <f t="shared" si="7"/>
        <v>0</v>
      </c>
      <c r="E52" s="32">
        <f t="shared" si="8"/>
        <v>0</v>
      </c>
      <c r="F52" s="132"/>
      <c r="G52" s="12">
        <f t="shared" si="9"/>
        <v>0</v>
      </c>
      <c r="H52" s="32">
        <f t="shared" si="10"/>
        <v>0</v>
      </c>
      <c r="I52" s="132">
        <f t="shared" si="11"/>
        <v>0</v>
      </c>
      <c r="J52" s="12">
        <f t="shared" si="12"/>
        <v>0</v>
      </c>
      <c r="K52" s="13">
        <f t="shared" si="13"/>
        <v>0</v>
      </c>
    </row>
    <row r="53" spans="1:11" s="1" customFormat="1" ht="16.5" customHeight="1">
      <c r="A53" s="4"/>
      <c r="B53" s="38" t="s">
        <v>69</v>
      </c>
      <c r="C53" s="147"/>
      <c r="D53" s="12">
        <f t="shared" si="7"/>
        <v>0</v>
      </c>
      <c r="E53" s="32">
        <f t="shared" si="8"/>
        <v>0</v>
      </c>
      <c r="F53" s="132"/>
      <c r="G53" s="12">
        <f t="shared" si="9"/>
        <v>0</v>
      </c>
      <c r="H53" s="32">
        <f t="shared" si="10"/>
        <v>0</v>
      </c>
      <c r="I53" s="132">
        <f t="shared" si="11"/>
        <v>0</v>
      </c>
      <c r="J53" s="12">
        <f t="shared" si="12"/>
        <v>0</v>
      </c>
      <c r="K53" s="13">
        <f t="shared" si="13"/>
        <v>0</v>
      </c>
    </row>
    <row r="54" spans="1:11" s="1" customFormat="1" ht="12" customHeight="1">
      <c r="A54" s="4"/>
      <c r="B54" s="38" t="s">
        <v>73</v>
      </c>
      <c r="C54" s="147"/>
      <c r="D54" s="12">
        <f t="shared" si="7"/>
        <v>0</v>
      </c>
      <c r="E54" s="32">
        <f t="shared" si="8"/>
        <v>0</v>
      </c>
      <c r="F54" s="132"/>
      <c r="G54" s="12">
        <f t="shared" si="9"/>
        <v>0</v>
      </c>
      <c r="H54" s="32">
        <f t="shared" si="10"/>
        <v>0</v>
      </c>
      <c r="I54" s="132">
        <f t="shared" si="11"/>
        <v>0</v>
      </c>
      <c r="J54" s="12">
        <f t="shared" si="12"/>
        <v>0</v>
      </c>
      <c r="K54" s="13">
        <f t="shared" si="13"/>
        <v>0</v>
      </c>
    </row>
    <row r="55" spans="1:11" s="1" customFormat="1" ht="16.5" customHeight="1">
      <c r="A55" s="4"/>
      <c r="B55" s="38" t="s">
        <v>70</v>
      </c>
      <c r="C55" s="147"/>
      <c r="D55" s="12">
        <f t="shared" si="7"/>
        <v>0</v>
      </c>
      <c r="E55" s="32">
        <f t="shared" si="8"/>
        <v>0</v>
      </c>
      <c r="F55" s="132"/>
      <c r="G55" s="12">
        <f t="shared" si="9"/>
        <v>0</v>
      </c>
      <c r="H55" s="32">
        <f t="shared" si="10"/>
        <v>0</v>
      </c>
      <c r="I55" s="132">
        <f t="shared" si="11"/>
        <v>0</v>
      </c>
      <c r="J55" s="12">
        <f t="shared" si="12"/>
        <v>0</v>
      </c>
      <c r="K55" s="13">
        <f t="shared" si="13"/>
        <v>0</v>
      </c>
    </row>
    <row r="56" spans="1:11" s="1" customFormat="1" ht="12.75">
      <c r="A56" s="4"/>
      <c r="B56" s="38" t="s">
        <v>74</v>
      </c>
      <c r="C56" s="147"/>
      <c r="D56" s="12">
        <f t="shared" si="7"/>
        <v>0</v>
      </c>
      <c r="E56" s="32">
        <f t="shared" si="8"/>
        <v>0</v>
      </c>
      <c r="F56" s="132"/>
      <c r="G56" s="12">
        <f t="shared" si="9"/>
        <v>0</v>
      </c>
      <c r="H56" s="32">
        <f t="shared" si="10"/>
        <v>0</v>
      </c>
      <c r="I56" s="132">
        <f t="shared" si="11"/>
        <v>0</v>
      </c>
      <c r="J56" s="12">
        <f t="shared" si="12"/>
        <v>0</v>
      </c>
      <c r="K56" s="13">
        <f t="shared" si="13"/>
        <v>0</v>
      </c>
    </row>
    <row r="57" spans="1:11" s="1" customFormat="1" ht="13.5" thickBot="1">
      <c r="A57" s="4"/>
      <c r="B57" s="38" t="s">
        <v>33</v>
      </c>
      <c r="C57" s="152"/>
      <c r="D57" s="12">
        <f t="shared" si="7"/>
        <v>0</v>
      </c>
      <c r="E57" s="32">
        <f t="shared" si="8"/>
        <v>0</v>
      </c>
      <c r="F57" s="139"/>
      <c r="G57" s="12">
        <f t="shared" si="9"/>
        <v>0</v>
      </c>
      <c r="H57" s="32">
        <f t="shared" si="10"/>
        <v>0</v>
      </c>
      <c r="I57" s="132">
        <f t="shared" si="11"/>
        <v>0</v>
      </c>
      <c r="J57" s="12">
        <f t="shared" si="12"/>
        <v>0</v>
      </c>
      <c r="K57" s="13">
        <f t="shared" si="13"/>
        <v>0</v>
      </c>
    </row>
    <row r="58" spans="1:11" s="6" customFormat="1" ht="18.75" customHeight="1" thickBot="1">
      <c r="A58" s="82"/>
      <c r="B58" s="83" t="s">
        <v>22</v>
      </c>
      <c r="C58" s="148">
        <f>C48+C47+C46+C43+C38+C34+C33+C32+C27+C22+C18+C17+C16+C14+C13+C11+C10+C8+C5</f>
        <v>0</v>
      </c>
      <c r="D58" s="215">
        <f t="shared" si="7"/>
        <v>0</v>
      </c>
      <c r="E58" s="33"/>
      <c r="F58" s="145">
        <f>F48+F47+F46+F43+F38+F34+F33+F32+F27+F22+F18+F17+F16+F14+F13+F11+F10+F8+F5</f>
        <v>1046</v>
      </c>
      <c r="G58" s="216">
        <f t="shared" si="9"/>
        <v>5.055264773117204</v>
      </c>
      <c r="H58" s="33"/>
      <c r="I58" s="145">
        <f>I48+I47+I46+I43+I38+I34+I33+I32+I27+I22+I18+I17+I16+I14+I13+I11+I10+I8+I5</f>
        <v>1046</v>
      </c>
      <c r="J58" s="216">
        <f t="shared" si="12"/>
        <v>4.293342855852861</v>
      </c>
      <c r="K58" s="11"/>
    </row>
    <row r="59" spans="1:11" s="6" customFormat="1" ht="22.5" customHeight="1">
      <c r="A59" s="15"/>
      <c r="B59" s="235"/>
      <c r="C59" s="235"/>
      <c r="D59" s="235"/>
      <c r="E59" s="235"/>
      <c r="F59" s="235"/>
      <c r="G59" s="235"/>
      <c r="H59" s="235"/>
      <c r="I59" s="236"/>
      <c r="J59" s="236"/>
      <c r="K59" s="236"/>
    </row>
  </sheetData>
  <sheetProtection/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90" zoomScaleNormal="90" zoomScalePageLayoutView="0" workbookViewId="0" topLeftCell="A1">
      <pane xSplit="1" ySplit="4" topLeftCell="B34" activePane="bottomRight" state="frozen"/>
      <selection pane="topLeft" activeCell="C7" sqref="C7"/>
      <selection pane="topRight" activeCell="C7" sqref="C7"/>
      <selection pane="bottomLeft" activeCell="C7" sqref="C7"/>
      <selection pane="bottomRight" activeCell="J51" sqref="J51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37" t="s">
        <v>97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20.25" customHeight="1" thickBot="1">
      <c r="A2" s="21"/>
      <c r="B2" s="22"/>
      <c r="C2" s="2"/>
      <c r="D2" s="229">
        <v>36720</v>
      </c>
      <c r="E2" s="23"/>
      <c r="F2" s="23"/>
      <c r="G2" s="229">
        <f>J2-D2</f>
        <v>206913</v>
      </c>
      <c r="H2" s="2"/>
      <c r="I2" s="2"/>
      <c r="J2" s="229">
        <v>243633</v>
      </c>
      <c r="K2" s="2"/>
    </row>
    <row r="3" spans="1:11" ht="12.75">
      <c r="A3" s="239" t="s">
        <v>24</v>
      </c>
      <c r="B3" s="241" t="s">
        <v>5</v>
      </c>
      <c r="C3" s="130" t="s">
        <v>1</v>
      </c>
      <c r="D3" s="129"/>
      <c r="E3" s="129"/>
      <c r="F3" s="130" t="s">
        <v>2</v>
      </c>
      <c r="G3" s="129"/>
      <c r="H3" s="129"/>
      <c r="I3" s="130" t="s">
        <v>3</v>
      </c>
      <c r="J3" s="129"/>
      <c r="K3" s="131"/>
    </row>
    <row r="4" spans="1:11" ht="33.75" customHeight="1" thickBot="1">
      <c r="A4" s="250"/>
      <c r="B4" s="242"/>
      <c r="C4" s="126" t="s">
        <v>6</v>
      </c>
      <c r="D4" s="124" t="s">
        <v>7</v>
      </c>
      <c r="E4" s="125" t="s">
        <v>8</v>
      </c>
      <c r="F4" s="126" t="s">
        <v>6</v>
      </c>
      <c r="G4" s="124" t="s">
        <v>7</v>
      </c>
      <c r="H4" s="125" t="s">
        <v>8</v>
      </c>
      <c r="I4" s="126" t="s">
        <v>6</v>
      </c>
      <c r="J4" s="124" t="s">
        <v>7</v>
      </c>
      <c r="K4" s="127" t="s">
        <v>8</v>
      </c>
    </row>
    <row r="5" spans="1:11" ht="16.5" customHeight="1" thickBot="1">
      <c r="A5" s="90" t="s">
        <v>9</v>
      </c>
      <c r="B5" s="100" t="s">
        <v>26</v>
      </c>
      <c r="C5" s="145"/>
      <c r="D5" s="94">
        <f aca="true" t="shared" si="0" ref="D5:D36">C5*1000/$D$2</f>
        <v>0</v>
      </c>
      <c r="E5" s="95">
        <f aca="true" t="shared" si="1" ref="E5:E36">C5*100/C$58</f>
        <v>0</v>
      </c>
      <c r="F5" s="135">
        <v>2</v>
      </c>
      <c r="G5" s="94">
        <f aca="true" t="shared" si="2" ref="G5:G36">F5*1000/$G$2</f>
        <v>0.00966589822775756</v>
      </c>
      <c r="H5" s="95">
        <f aca="true" t="shared" si="3" ref="H5:H36">F5*100/F$58</f>
        <v>0.12658227848101267</v>
      </c>
      <c r="I5" s="145">
        <f aca="true" t="shared" si="4" ref="I5:I36">SUM(C5,F5)</f>
        <v>2</v>
      </c>
      <c r="J5" s="94">
        <f aca="true" t="shared" si="5" ref="J5:J36">I5*1000/$J$2</f>
        <v>0.008209068558036062</v>
      </c>
      <c r="K5" s="97">
        <f aca="true" t="shared" si="6" ref="K5:K36">I5*100/I$58</f>
        <v>0.12634238787113075</v>
      </c>
    </row>
    <row r="6" spans="1:11" s="1" customFormat="1" ht="12.75" customHeight="1">
      <c r="A6" s="4"/>
      <c r="B6" s="40" t="s">
        <v>36</v>
      </c>
      <c r="C6" s="146"/>
      <c r="D6" s="18">
        <f t="shared" si="0"/>
        <v>0</v>
      </c>
      <c r="E6" s="31">
        <f t="shared" si="1"/>
        <v>0</v>
      </c>
      <c r="F6" s="138"/>
      <c r="G6" s="18">
        <f t="shared" si="2"/>
        <v>0</v>
      </c>
      <c r="H6" s="31">
        <f t="shared" si="3"/>
        <v>0</v>
      </c>
      <c r="I6" s="138">
        <f t="shared" si="4"/>
        <v>0</v>
      </c>
      <c r="J6" s="18">
        <f t="shared" si="5"/>
        <v>0</v>
      </c>
      <c r="K6" s="19">
        <f t="shared" si="6"/>
        <v>0</v>
      </c>
    </row>
    <row r="7" spans="1:11" s="1" customFormat="1" ht="14.25" customHeight="1" thickBot="1">
      <c r="A7" s="4"/>
      <c r="B7" s="39" t="s">
        <v>37</v>
      </c>
      <c r="C7" s="147"/>
      <c r="D7" s="12">
        <f t="shared" si="0"/>
        <v>0</v>
      </c>
      <c r="E7" s="32">
        <f t="shared" si="1"/>
        <v>0</v>
      </c>
      <c r="F7" s="133"/>
      <c r="G7" s="14">
        <f t="shared" si="2"/>
        <v>0</v>
      </c>
      <c r="H7" s="35">
        <f t="shared" si="3"/>
        <v>0</v>
      </c>
      <c r="I7" s="140">
        <f t="shared" si="4"/>
        <v>0</v>
      </c>
      <c r="J7" s="14">
        <f t="shared" si="5"/>
        <v>0</v>
      </c>
      <c r="K7" s="13">
        <f t="shared" si="6"/>
        <v>0</v>
      </c>
    </row>
    <row r="8" spans="1:11" ht="13.5" customHeight="1" thickBot="1">
      <c r="A8" s="90" t="s">
        <v>10</v>
      </c>
      <c r="B8" s="100" t="s">
        <v>38</v>
      </c>
      <c r="C8" s="148">
        <v>1</v>
      </c>
      <c r="D8" s="94">
        <f t="shared" si="0"/>
        <v>0.027233115468409588</v>
      </c>
      <c r="E8" s="95">
        <f t="shared" si="1"/>
        <v>33.333333333333336</v>
      </c>
      <c r="F8" s="135">
        <f>519+518</f>
        <v>1037</v>
      </c>
      <c r="G8" s="94">
        <f t="shared" si="2"/>
        <v>5.011768231092295</v>
      </c>
      <c r="H8" s="95">
        <f t="shared" si="3"/>
        <v>65.63291139240506</v>
      </c>
      <c r="I8" s="145">
        <f t="shared" si="4"/>
        <v>1038</v>
      </c>
      <c r="J8" s="94">
        <f t="shared" si="5"/>
        <v>4.260506581620716</v>
      </c>
      <c r="K8" s="97">
        <f t="shared" si="6"/>
        <v>65.57169930511687</v>
      </c>
    </row>
    <row r="9" spans="1:11" s="1" customFormat="1" ht="15" customHeight="1" thickBot="1">
      <c r="A9" s="16"/>
      <c r="B9" s="40" t="s">
        <v>39</v>
      </c>
      <c r="C9" s="146"/>
      <c r="D9" s="18">
        <f t="shared" si="0"/>
        <v>0</v>
      </c>
      <c r="E9" s="31">
        <f t="shared" si="1"/>
        <v>0</v>
      </c>
      <c r="F9" s="133">
        <f>474+384</f>
        <v>858</v>
      </c>
      <c r="G9" s="18">
        <f t="shared" si="2"/>
        <v>4.146670339707994</v>
      </c>
      <c r="H9" s="31">
        <f t="shared" si="3"/>
        <v>54.30379746835443</v>
      </c>
      <c r="I9" s="138">
        <f t="shared" si="4"/>
        <v>858</v>
      </c>
      <c r="J9" s="18">
        <f t="shared" si="5"/>
        <v>3.5216904113974707</v>
      </c>
      <c r="K9" s="19">
        <f t="shared" si="6"/>
        <v>54.2008843967151</v>
      </c>
    </row>
    <row r="10" spans="1:11" s="6" customFormat="1" ht="15.75" customHeight="1" thickBot="1">
      <c r="A10" s="91" t="s">
        <v>11</v>
      </c>
      <c r="B10" s="92" t="s">
        <v>40</v>
      </c>
      <c r="C10" s="148"/>
      <c r="D10" s="94">
        <f t="shared" si="0"/>
        <v>0</v>
      </c>
      <c r="E10" s="95">
        <f t="shared" si="1"/>
        <v>0</v>
      </c>
      <c r="F10" s="135"/>
      <c r="G10" s="94">
        <f t="shared" si="2"/>
        <v>0</v>
      </c>
      <c r="H10" s="95">
        <f t="shared" si="3"/>
        <v>0</v>
      </c>
      <c r="I10" s="145">
        <f t="shared" si="4"/>
        <v>0</v>
      </c>
      <c r="J10" s="94">
        <f t="shared" si="5"/>
        <v>0</v>
      </c>
      <c r="K10" s="97">
        <f t="shared" si="6"/>
        <v>0</v>
      </c>
    </row>
    <row r="11" spans="1:11" s="6" customFormat="1" ht="30" customHeight="1" thickBot="1">
      <c r="A11" s="98" t="s">
        <v>12</v>
      </c>
      <c r="B11" s="92" t="s">
        <v>41</v>
      </c>
      <c r="C11" s="148"/>
      <c r="D11" s="94">
        <f t="shared" si="0"/>
        <v>0</v>
      </c>
      <c r="E11" s="95">
        <f t="shared" si="1"/>
        <v>0</v>
      </c>
      <c r="F11" s="135"/>
      <c r="G11" s="94">
        <f t="shared" si="2"/>
        <v>0</v>
      </c>
      <c r="H11" s="95">
        <f t="shared" si="3"/>
        <v>0</v>
      </c>
      <c r="I11" s="145">
        <f t="shared" si="4"/>
        <v>0</v>
      </c>
      <c r="J11" s="94">
        <f t="shared" si="5"/>
        <v>0</v>
      </c>
      <c r="K11" s="97">
        <f t="shared" si="6"/>
        <v>0</v>
      </c>
    </row>
    <row r="12" spans="1:11" s="6" customFormat="1" ht="16.5" customHeight="1" thickBot="1">
      <c r="A12" s="17"/>
      <c r="B12" s="41" t="s">
        <v>78</v>
      </c>
      <c r="C12" s="149"/>
      <c r="D12" s="29">
        <f t="shared" si="0"/>
        <v>0</v>
      </c>
      <c r="E12" s="34">
        <f t="shared" si="1"/>
        <v>0</v>
      </c>
      <c r="F12" s="133"/>
      <c r="G12" s="29">
        <f t="shared" si="2"/>
        <v>0</v>
      </c>
      <c r="H12" s="34">
        <f t="shared" si="3"/>
        <v>0</v>
      </c>
      <c r="I12" s="133">
        <f t="shared" si="4"/>
        <v>0</v>
      </c>
      <c r="J12" s="29">
        <f t="shared" si="5"/>
        <v>0</v>
      </c>
      <c r="K12" s="30">
        <f t="shared" si="6"/>
        <v>0</v>
      </c>
    </row>
    <row r="13" spans="1:11" s="6" customFormat="1" ht="15" customHeight="1" thickBot="1">
      <c r="A13" s="99" t="s">
        <v>13</v>
      </c>
      <c r="B13" s="100" t="s">
        <v>42</v>
      </c>
      <c r="C13" s="162"/>
      <c r="D13" s="102">
        <f t="shared" si="0"/>
        <v>0</v>
      </c>
      <c r="E13" s="103">
        <f t="shared" si="1"/>
        <v>0</v>
      </c>
      <c r="F13" s="135"/>
      <c r="G13" s="102">
        <f t="shared" si="2"/>
        <v>0</v>
      </c>
      <c r="H13" s="103">
        <f t="shared" si="3"/>
        <v>0</v>
      </c>
      <c r="I13" s="163">
        <f t="shared" si="4"/>
        <v>0</v>
      </c>
      <c r="J13" s="102">
        <f t="shared" si="5"/>
        <v>0</v>
      </c>
      <c r="K13" s="104">
        <f t="shared" si="6"/>
        <v>0</v>
      </c>
    </row>
    <row r="14" spans="1:11" s="6" customFormat="1" ht="15.75" customHeight="1" thickBot="1">
      <c r="A14" s="98" t="s">
        <v>14</v>
      </c>
      <c r="B14" s="142" t="s">
        <v>43</v>
      </c>
      <c r="C14" s="148"/>
      <c r="D14" s="94">
        <f t="shared" si="0"/>
        <v>0</v>
      </c>
      <c r="E14" s="95">
        <f t="shared" si="1"/>
        <v>0</v>
      </c>
      <c r="F14" s="135"/>
      <c r="G14" s="94">
        <f t="shared" si="2"/>
        <v>0</v>
      </c>
      <c r="H14" s="95">
        <f t="shared" si="3"/>
        <v>0</v>
      </c>
      <c r="I14" s="145">
        <f t="shared" si="4"/>
        <v>0</v>
      </c>
      <c r="J14" s="94">
        <f t="shared" si="5"/>
        <v>0</v>
      </c>
      <c r="K14" s="113">
        <f t="shared" si="6"/>
        <v>0</v>
      </c>
    </row>
    <row r="15" spans="1:11" s="1" customFormat="1" ht="15.75" customHeight="1" thickBot="1">
      <c r="A15" s="4"/>
      <c r="B15" s="39" t="s">
        <v>44</v>
      </c>
      <c r="C15" s="150"/>
      <c r="D15" s="14">
        <f t="shared" si="0"/>
        <v>0</v>
      </c>
      <c r="E15" s="35">
        <f t="shared" si="1"/>
        <v>0</v>
      </c>
      <c r="F15" s="133"/>
      <c r="G15" s="14">
        <f t="shared" si="2"/>
        <v>0</v>
      </c>
      <c r="H15" s="35">
        <f t="shared" si="3"/>
        <v>0</v>
      </c>
      <c r="I15" s="140">
        <f t="shared" si="4"/>
        <v>0</v>
      </c>
      <c r="J15" s="14">
        <f t="shared" si="5"/>
        <v>0</v>
      </c>
      <c r="K15" s="20">
        <f t="shared" si="6"/>
        <v>0</v>
      </c>
    </row>
    <row r="16" spans="1:11" s="1" customFormat="1" ht="16.5" customHeight="1" thickBot="1">
      <c r="A16" s="105" t="s">
        <v>15</v>
      </c>
      <c r="B16" s="100" t="s">
        <v>27</v>
      </c>
      <c r="C16" s="151"/>
      <c r="D16" s="107">
        <f t="shared" si="0"/>
        <v>0</v>
      </c>
      <c r="E16" s="108">
        <f t="shared" si="1"/>
        <v>0</v>
      </c>
      <c r="F16" s="135"/>
      <c r="G16" s="107">
        <f t="shared" si="2"/>
        <v>0</v>
      </c>
      <c r="H16" s="108">
        <f t="shared" si="3"/>
        <v>0</v>
      </c>
      <c r="I16" s="135">
        <f t="shared" si="4"/>
        <v>0</v>
      </c>
      <c r="J16" s="107">
        <f t="shared" si="5"/>
        <v>0</v>
      </c>
      <c r="K16" s="109">
        <f t="shared" si="6"/>
        <v>0</v>
      </c>
    </row>
    <row r="17" spans="1:11" s="6" customFormat="1" ht="18" customHeight="1" thickBot="1">
      <c r="A17" s="110" t="s">
        <v>16</v>
      </c>
      <c r="B17" s="92" t="s">
        <v>45</v>
      </c>
      <c r="C17" s="148"/>
      <c r="D17" s="94">
        <f t="shared" si="0"/>
        <v>0</v>
      </c>
      <c r="E17" s="95">
        <f t="shared" si="1"/>
        <v>0</v>
      </c>
      <c r="F17" s="137"/>
      <c r="G17" s="94">
        <f t="shared" si="2"/>
        <v>0</v>
      </c>
      <c r="H17" s="95">
        <f t="shared" si="3"/>
        <v>0</v>
      </c>
      <c r="I17" s="145">
        <f t="shared" si="4"/>
        <v>0</v>
      </c>
      <c r="J17" s="94">
        <f t="shared" si="5"/>
        <v>0</v>
      </c>
      <c r="K17" s="97">
        <f t="shared" si="6"/>
        <v>0</v>
      </c>
    </row>
    <row r="18" spans="1:11" s="6" customFormat="1" ht="18" customHeight="1" thickBot="1">
      <c r="A18" s="98" t="s">
        <v>17</v>
      </c>
      <c r="B18" s="92" t="s">
        <v>46</v>
      </c>
      <c r="C18" s="148"/>
      <c r="D18" s="94">
        <f t="shared" si="0"/>
        <v>0</v>
      </c>
      <c r="E18" s="95">
        <f t="shared" si="1"/>
        <v>0</v>
      </c>
      <c r="F18" s="135">
        <v>42</v>
      </c>
      <c r="G18" s="94">
        <f t="shared" si="2"/>
        <v>0.20298386278290875</v>
      </c>
      <c r="H18" s="95">
        <f t="shared" si="3"/>
        <v>2.6582278481012658</v>
      </c>
      <c r="I18" s="145">
        <f t="shared" si="4"/>
        <v>42</v>
      </c>
      <c r="J18" s="94">
        <f t="shared" si="5"/>
        <v>0.1723904397187573</v>
      </c>
      <c r="K18" s="97">
        <f t="shared" si="6"/>
        <v>2.653190145293746</v>
      </c>
    </row>
    <row r="19" spans="1:11" s="1" customFormat="1" ht="14.25" customHeight="1">
      <c r="A19" s="4"/>
      <c r="B19" s="40" t="s">
        <v>47</v>
      </c>
      <c r="C19" s="146"/>
      <c r="D19" s="18">
        <f t="shared" si="0"/>
        <v>0</v>
      </c>
      <c r="E19" s="31">
        <f t="shared" si="1"/>
        <v>0</v>
      </c>
      <c r="F19" s="138"/>
      <c r="G19" s="18">
        <f t="shared" si="2"/>
        <v>0</v>
      </c>
      <c r="H19" s="31">
        <f t="shared" si="3"/>
        <v>0</v>
      </c>
      <c r="I19" s="138">
        <f t="shared" si="4"/>
        <v>0</v>
      </c>
      <c r="J19" s="18">
        <f t="shared" si="5"/>
        <v>0</v>
      </c>
      <c r="K19" s="19">
        <f t="shared" si="6"/>
        <v>0</v>
      </c>
    </row>
    <row r="20" spans="1:11" s="1" customFormat="1" ht="15.75" customHeight="1">
      <c r="A20" s="4"/>
      <c r="B20" s="38" t="s">
        <v>48</v>
      </c>
      <c r="C20" s="132"/>
      <c r="D20" s="12">
        <f t="shared" si="0"/>
        <v>0</v>
      </c>
      <c r="E20" s="32">
        <f t="shared" si="1"/>
        <v>0</v>
      </c>
      <c r="F20" s="132"/>
      <c r="G20" s="12">
        <f t="shared" si="2"/>
        <v>0</v>
      </c>
      <c r="H20" s="32">
        <f t="shared" si="3"/>
        <v>0</v>
      </c>
      <c r="I20" s="132">
        <f t="shared" si="4"/>
        <v>0</v>
      </c>
      <c r="J20" s="12">
        <f t="shared" si="5"/>
        <v>0</v>
      </c>
      <c r="K20" s="13">
        <f t="shared" si="6"/>
        <v>0</v>
      </c>
    </row>
    <row r="21" spans="1:11" s="1" customFormat="1" ht="16.5" customHeight="1" thickBot="1">
      <c r="A21" s="4"/>
      <c r="B21" s="38" t="s">
        <v>49</v>
      </c>
      <c r="C21" s="132"/>
      <c r="D21" s="12">
        <f t="shared" si="0"/>
        <v>0</v>
      </c>
      <c r="E21" s="32">
        <f t="shared" si="1"/>
        <v>0</v>
      </c>
      <c r="F21" s="133"/>
      <c r="G21" s="12">
        <f t="shared" si="2"/>
        <v>0</v>
      </c>
      <c r="H21" s="32">
        <f t="shared" si="3"/>
        <v>0</v>
      </c>
      <c r="I21" s="132">
        <f t="shared" si="4"/>
        <v>0</v>
      </c>
      <c r="J21" s="12">
        <f t="shared" si="5"/>
        <v>0</v>
      </c>
      <c r="K21" s="13">
        <f t="shared" si="6"/>
        <v>0</v>
      </c>
    </row>
    <row r="22" spans="1:11" s="6" customFormat="1" ht="15.75" customHeight="1" thickBot="1">
      <c r="A22" s="98" t="s">
        <v>28</v>
      </c>
      <c r="B22" s="92" t="s">
        <v>50</v>
      </c>
      <c r="C22" s="148">
        <v>1</v>
      </c>
      <c r="D22" s="94">
        <f t="shared" si="0"/>
        <v>0.027233115468409588</v>
      </c>
      <c r="E22" s="95">
        <f t="shared" si="1"/>
        <v>33.333333333333336</v>
      </c>
      <c r="F22" s="135">
        <f>32+35+7</f>
        <v>74</v>
      </c>
      <c r="G22" s="94">
        <f t="shared" si="2"/>
        <v>0.35763823442702974</v>
      </c>
      <c r="H22" s="95">
        <f t="shared" si="3"/>
        <v>4.6835443037974684</v>
      </c>
      <c r="I22" s="145">
        <f t="shared" si="4"/>
        <v>75</v>
      </c>
      <c r="J22" s="94">
        <f t="shared" si="5"/>
        <v>0.30784007092635235</v>
      </c>
      <c r="K22" s="97">
        <f t="shared" si="6"/>
        <v>4.737839545167404</v>
      </c>
    </row>
    <row r="23" spans="1:11" s="1" customFormat="1" ht="15.75" customHeight="1">
      <c r="A23" s="4"/>
      <c r="B23" s="40" t="s">
        <v>51</v>
      </c>
      <c r="C23" s="146"/>
      <c r="D23" s="18">
        <f t="shared" si="0"/>
        <v>0</v>
      </c>
      <c r="E23" s="31">
        <f t="shared" si="1"/>
        <v>0</v>
      </c>
      <c r="F23" s="138"/>
      <c r="G23" s="18">
        <f t="shared" si="2"/>
        <v>0</v>
      </c>
      <c r="H23" s="31">
        <f t="shared" si="3"/>
        <v>0</v>
      </c>
      <c r="I23" s="138">
        <f t="shared" si="4"/>
        <v>0</v>
      </c>
      <c r="J23" s="18">
        <f t="shared" si="5"/>
        <v>0</v>
      </c>
      <c r="K23" s="19">
        <f t="shared" si="6"/>
        <v>0</v>
      </c>
    </row>
    <row r="24" spans="1:11" s="1" customFormat="1" ht="14.25" customHeight="1">
      <c r="A24" s="4"/>
      <c r="B24" s="38" t="s">
        <v>52</v>
      </c>
      <c r="C24" s="147"/>
      <c r="D24" s="12">
        <f t="shared" si="0"/>
        <v>0</v>
      </c>
      <c r="E24" s="32">
        <f t="shared" si="1"/>
        <v>0</v>
      </c>
      <c r="F24" s="132"/>
      <c r="G24" s="12">
        <f t="shared" si="2"/>
        <v>0</v>
      </c>
      <c r="H24" s="32">
        <f t="shared" si="3"/>
        <v>0</v>
      </c>
      <c r="I24" s="132">
        <f t="shared" si="4"/>
        <v>0</v>
      </c>
      <c r="J24" s="12">
        <f t="shared" si="5"/>
        <v>0</v>
      </c>
      <c r="K24" s="13">
        <f t="shared" si="6"/>
        <v>0</v>
      </c>
    </row>
    <row r="25" spans="1:11" s="1" customFormat="1" ht="15.75" customHeight="1">
      <c r="A25" s="4"/>
      <c r="B25" s="38" t="s">
        <v>85</v>
      </c>
      <c r="C25" s="147"/>
      <c r="D25" s="12">
        <f t="shared" si="0"/>
        <v>0</v>
      </c>
      <c r="E25" s="32">
        <f t="shared" si="1"/>
        <v>0</v>
      </c>
      <c r="F25" s="132"/>
      <c r="G25" s="12">
        <f t="shared" si="2"/>
        <v>0</v>
      </c>
      <c r="H25" s="32">
        <f t="shared" si="3"/>
        <v>0</v>
      </c>
      <c r="I25" s="132">
        <f t="shared" si="4"/>
        <v>0</v>
      </c>
      <c r="J25" s="12">
        <f t="shared" si="5"/>
        <v>0</v>
      </c>
      <c r="K25" s="13">
        <f t="shared" si="6"/>
        <v>0</v>
      </c>
    </row>
    <row r="26" spans="1:11" s="1" customFormat="1" ht="13.5" thickBot="1">
      <c r="A26" s="4"/>
      <c r="B26" s="38" t="s">
        <v>86</v>
      </c>
      <c r="C26" s="147"/>
      <c r="D26" s="12">
        <f t="shared" si="0"/>
        <v>0</v>
      </c>
      <c r="E26" s="32">
        <f t="shared" si="1"/>
        <v>0</v>
      </c>
      <c r="F26" s="133"/>
      <c r="G26" s="12">
        <f t="shared" si="2"/>
        <v>0</v>
      </c>
      <c r="H26" s="32">
        <f t="shared" si="3"/>
        <v>0</v>
      </c>
      <c r="I26" s="132">
        <f t="shared" si="4"/>
        <v>0</v>
      </c>
      <c r="J26" s="12">
        <f t="shared" si="5"/>
        <v>0</v>
      </c>
      <c r="K26" s="13">
        <f t="shared" si="6"/>
        <v>0</v>
      </c>
    </row>
    <row r="27" spans="1:11" s="6" customFormat="1" ht="14.25" customHeight="1" thickBot="1">
      <c r="A27" s="98" t="s">
        <v>18</v>
      </c>
      <c r="B27" s="92" t="s">
        <v>53</v>
      </c>
      <c r="C27" s="148"/>
      <c r="D27" s="94">
        <f t="shared" si="0"/>
        <v>0</v>
      </c>
      <c r="E27" s="95">
        <f t="shared" si="1"/>
        <v>0</v>
      </c>
      <c r="F27" s="135">
        <f>17+1+13</f>
        <v>31</v>
      </c>
      <c r="G27" s="94">
        <f t="shared" si="2"/>
        <v>0.14982142253024217</v>
      </c>
      <c r="H27" s="95">
        <f t="shared" si="3"/>
        <v>1.9620253164556962</v>
      </c>
      <c r="I27" s="145">
        <f t="shared" si="4"/>
        <v>31</v>
      </c>
      <c r="J27" s="94">
        <f t="shared" si="5"/>
        <v>0.12724056264955896</v>
      </c>
      <c r="K27" s="97">
        <f t="shared" si="6"/>
        <v>1.9583070120025268</v>
      </c>
    </row>
    <row r="28" spans="1:11" s="1" customFormat="1" ht="15" customHeight="1">
      <c r="A28" s="4"/>
      <c r="B28" s="40" t="s">
        <v>54</v>
      </c>
      <c r="C28" s="146"/>
      <c r="D28" s="18">
        <f t="shared" si="0"/>
        <v>0</v>
      </c>
      <c r="E28" s="31">
        <f t="shared" si="1"/>
        <v>0</v>
      </c>
      <c r="F28" s="138"/>
      <c r="G28" s="18">
        <f t="shared" si="2"/>
        <v>0</v>
      </c>
      <c r="H28" s="31">
        <f t="shared" si="3"/>
        <v>0</v>
      </c>
      <c r="I28" s="138">
        <f t="shared" si="4"/>
        <v>0</v>
      </c>
      <c r="J28" s="18">
        <f t="shared" si="5"/>
        <v>0</v>
      </c>
      <c r="K28" s="19">
        <f t="shared" si="6"/>
        <v>0</v>
      </c>
    </row>
    <row r="29" spans="1:11" s="1" customFormat="1" ht="15" customHeight="1">
      <c r="A29" s="4"/>
      <c r="B29" s="38" t="s">
        <v>55</v>
      </c>
      <c r="C29" s="147"/>
      <c r="D29" s="12">
        <f t="shared" si="0"/>
        <v>0</v>
      </c>
      <c r="E29" s="32">
        <f t="shared" si="1"/>
        <v>0</v>
      </c>
      <c r="F29" s="132">
        <v>1</v>
      </c>
      <c r="G29" s="12">
        <f t="shared" si="2"/>
        <v>0.00483294911387878</v>
      </c>
      <c r="H29" s="32">
        <f t="shared" si="3"/>
        <v>0.06329113924050633</v>
      </c>
      <c r="I29" s="132">
        <f t="shared" si="4"/>
        <v>1</v>
      </c>
      <c r="J29" s="12">
        <f t="shared" si="5"/>
        <v>0.004104534279018031</v>
      </c>
      <c r="K29" s="13">
        <f t="shared" si="6"/>
        <v>0.06317119393556538</v>
      </c>
    </row>
    <row r="30" spans="1:11" s="1" customFormat="1" ht="12.75">
      <c r="A30" s="4"/>
      <c r="B30" s="38" t="s">
        <v>56</v>
      </c>
      <c r="C30" s="147"/>
      <c r="D30" s="12">
        <f t="shared" si="0"/>
        <v>0</v>
      </c>
      <c r="E30" s="32">
        <f t="shared" si="1"/>
        <v>0</v>
      </c>
      <c r="F30" s="139">
        <v>1</v>
      </c>
      <c r="G30" s="12">
        <f t="shared" si="2"/>
        <v>0.00483294911387878</v>
      </c>
      <c r="H30" s="32">
        <f t="shared" si="3"/>
        <v>0.06329113924050633</v>
      </c>
      <c r="I30" s="132">
        <f t="shared" si="4"/>
        <v>1</v>
      </c>
      <c r="J30" s="12">
        <f t="shared" si="5"/>
        <v>0.004104534279018031</v>
      </c>
      <c r="K30" s="13">
        <f t="shared" si="6"/>
        <v>0.06317119393556538</v>
      </c>
    </row>
    <row r="31" spans="1:11" s="1" customFormat="1" ht="18" customHeight="1" thickBot="1">
      <c r="A31" s="5"/>
      <c r="B31" s="38" t="s">
        <v>57</v>
      </c>
      <c r="C31" s="147"/>
      <c r="D31" s="12">
        <f t="shared" si="0"/>
        <v>0</v>
      </c>
      <c r="E31" s="32">
        <f t="shared" si="1"/>
        <v>0</v>
      </c>
      <c r="F31" s="136"/>
      <c r="G31" s="12">
        <f t="shared" si="2"/>
        <v>0</v>
      </c>
      <c r="H31" s="32">
        <f t="shared" si="3"/>
        <v>0</v>
      </c>
      <c r="I31" s="132">
        <f t="shared" si="4"/>
        <v>0</v>
      </c>
      <c r="J31" s="12">
        <f t="shared" si="5"/>
        <v>0</v>
      </c>
      <c r="K31" s="13">
        <f t="shared" si="6"/>
        <v>0</v>
      </c>
    </row>
    <row r="32" spans="1:11" s="1" customFormat="1" ht="16.5" customHeight="1" thickBot="1">
      <c r="A32" s="99" t="s">
        <v>75</v>
      </c>
      <c r="B32" s="92" t="s">
        <v>61</v>
      </c>
      <c r="C32" s="148"/>
      <c r="D32" s="94">
        <f t="shared" si="0"/>
        <v>0</v>
      </c>
      <c r="E32" s="95">
        <f t="shared" si="1"/>
        <v>0</v>
      </c>
      <c r="F32" s="135">
        <v>6</v>
      </c>
      <c r="G32" s="94">
        <f t="shared" si="2"/>
        <v>0.02899769468327268</v>
      </c>
      <c r="H32" s="95">
        <f t="shared" si="3"/>
        <v>0.379746835443038</v>
      </c>
      <c r="I32" s="145">
        <f t="shared" si="4"/>
        <v>6</v>
      </c>
      <c r="J32" s="94">
        <f t="shared" si="5"/>
        <v>0.02462720567410819</v>
      </c>
      <c r="K32" s="97">
        <f t="shared" si="6"/>
        <v>0.3790271636133923</v>
      </c>
    </row>
    <row r="33" spans="1:11" s="1" customFormat="1" ht="26.25" thickBot="1">
      <c r="A33" s="99" t="s">
        <v>76</v>
      </c>
      <c r="B33" s="92" t="s">
        <v>62</v>
      </c>
      <c r="C33" s="148"/>
      <c r="D33" s="94">
        <f t="shared" si="0"/>
        <v>0</v>
      </c>
      <c r="E33" s="95">
        <f t="shared" si="1"/>
        <v>0</v>
      </c>
      <c r="F33" s="135"/>
      <c r="G33" s="94">
        <f t="shared" si="2"/>
        <v>0</v>
      </c>
      <c r="H33" s="95">
        <f t="shared" si="3"/>
        <v>0</v>
      </c>
      <c r="I33" s="145">
        <f t="shared" si="4"/>
        <v>0</v>
      </c>
      <c r="J33" s="94">
        <f t="shared" si="5"/>
        <v>0</v>
      </c>
      <c r="K33" s="97">
        <f t="shared" si="6"/>
        <v>0</v>
      </c>
    </row>
    <row r="34" spans="1:11" s="6" customFormat="1" ht="21" customHeight="1" thickBot="1">
      <c r="A34" s="98" t="s">
        <v>19</v>
      </c>
      <c r="B34" s="92" t="s">
        <v>58</v>
      </c>
      <c r="C34" s="148">
        <v>1</v>
      </c>
      <c r="D34" s="94">
        <f t="shared" si="0"/>
        <v>0.027233115468409588</v>
      </c>
      <c r="E34" s="95">
        <f t="shared" si="1"/>
        <v>33.333333333333336</v>
      </c>
      <c r="F34" s="135">
        <f>88+258</f>
        <v>346</v>
      </c>
      <c r="G34" s="94">
        <f t="shared" si="2"/>
        <v>1.672200393402058</v>
      </c>
      <c r="H34" s="95">
        <f t="shared" si="3"/>
        <v>21.89873417721519</v>
      </c>
      <c r="I34" s="145">
        <f t="shared" si="4"/>
        <v>347</v>
      </c>
      <c r="J34" s="94">
        <f t="shared" si="5"/>
        <v>1.4242733948192567</v>
      </c>
      <c r="K34" s="97">
        <f t="shared" si="6"/>
        <v>21.920404295641188</v>
      </c>
    </row>
    <row r="35" spans="1:11" s="1" customFormat="1" ht="12.75">
      <c r="A35" s="4"/>
      <c r="B35" s="40" t="s">
        <v>59</v>
      </c>
      <c r="C35" s="146"/>
      <c r="D35" s="25">
        <f t="shared" si="0"/>
        <v>0</v>
      </c>
      <c r="E35" s="36">
        <f t="shared" si="1"/>
        <v>0</v>
      </c>
      <c r="F35" s="138">
        <f>11+7</f>
        <v>18</v>
      </c>
      <c r="G35" s="25">
        <f t="shared" si="2"/>
        <v>0.08699308404981804</v>
      </c>
      <c r="H35" s="36">
        <f t="shared" si="3"/>
        <v>1.139240506329114</v>
      </c>
      <c r="I35" s="138">
        <f t="shared" si="4"/>
        <v>18</v>
      </c>
      <c r="J35" s="25">
        <f t="shared" si="5"/>
        <v>0.07388161702232456</v>
      </c>
      <c r="K35" s="26">
        <f t="shared" si="6"/>
        <v>1.137081490840177</v>
      </c>
    </row>
    <row r="36" spans="1:11" s="1" customFormat="1" ht="13.5" customHeight="1">
      <c r="A36" s="4"/>
      <c r="B36" s="43" t="s">
        <v>31</v>
      </c>
      <c r="C36" s="147"/>
      <c r="D36" s="27">
        <f t="shared" si="0"/>
        <v>0</v>
      </c>
      <c r="E36" s="37">
        <f t="shared" si="1"/>
        <v>0</v>
      </c>
      <c r="F36" s="132"/>
      <c r="G36" s="27">
        <f t="shared" si="2"/>
        <v>0</v>
      </c>
      <c r="H36" s="37">
        <f t="shared" si="3"/>
        <v>0</v>
      </c>
      <c r="I36" s="132">
        <f t="shared" si="4"/>
        <v>0</v>
      </c>
      <c r="J36" s="27">
        <f t="shared" si="5"/>
        <v>0</v>
      </c>
      <c r="K36" s="28">
        <f t="shared" si="6"/>
        <v>0</v>
      </c>
    </row>
    <row r="37" spans="1:11" s="1" customFormat="1" ht="12" customHeight="1" thickBot="1">
      <c r="A37" s="16"/>
      <c r="B37" s="38" t="s">
        <v>84</v>
      </c>
      <c r="C37" s="147"/>
      <c r="D37" s="27">
        <f aca="true" t="shared" si="7" ref="D37:D58">C37*1000/$D$2</f>
        <v>0</v>
      </c>
      <c r="E37" s="37">
        <f aca="true" t="shared" si="8" ref="E37:E57">C37*100/C$58</f>
        <v>0</v>
      </c>
      <c r="F37" s="140"/>
      <c r="G37" s="27">
        <f aca="true" t="shared" si="9" ref="G37:G58">F37*1000/$G$2</f>
        <v>0</v>
      </c>
      <c r="H37" s="37">
        <f aca="true" t="shared" si="10" ref="H37:H57">F37*100/F$58</f>
        <v>0</v>
      </c>
      <c r="I37" s="132">
        <f aca="true" t="shared" si="11" ref="I37:I57">SUM(C37,F37)</f>
        <v>0</v>
      </c>
      <c r="J37" s="27">
        <f aca="true" t="shared" si="12" ref="J37:J58">I37*1000/$J$2</f>
        <v>0</v>
      </c>
      <c r="K37" s="28">
        <f aca="true" t="shared" si="13" ref="K37:K57">I37*100/I$58</f>
        <v>0</v>
      </c>
    </row>
    <row r="38" spans="1:11" s="6" customFormat="1" ht="21" customHeight="1" thickBot="1">
      <c r="A38" s="98" t="s">
        <v>20</v>
      </c>
      <c r="B38" s="92" t="s">
        <v>32</v>
      </c>
      <c r="C38" s="148"/>
      <c r="D38" s="94">
        <f t="shared" si="7"/>
        <v>0</v>
      </c>
      <c r="E38" s="95">
        <f t="shared" si="8"/>
        <v>0</v>
      </c>
      <c r="F38" s="135"/>
      <c r="G38" s="94">
        <f t="shared" si="9"/>
        <v>0</v>
      </c>
      <c r="H38" s="95">
        <f t="shared" si="10"/>
        <v>0</v>
      </c>
      <c r="I38" s="145">
        <f t="shared" si="11"/>
        <v>0</v>
      </c>
      <c r="J38" s="94">
        <f t="shared" si="12"/>
        <v>0</v>
      </c>
      <c r="K38" s="113">
        <f t="shared" si="13"/>
        <v>0</v>
      </c>
    </row>
    <row r="39" spans="1:11" s="1" customFormat="1" ht="12.75">
      <c r="A39" s="4"/>
      <c r="B39" s="40" t="s">
        <v>60</v>
      </c>
      <c r="C39" s="146"/>
      <c r="D39" s="18">
        <f t="shared" si="7"/>
        <v>0</v>
      </c>
      <c r="E39" s="31">
        <f t="shared" si="8"/>
        <v>0</v>
      </c>
      <c r="F39" s="138"/>
      <c r="G39" s="18">
        <f t="shared" si="9"/>
        <v>0</v>
      </c>
      <c r="H39" s="31">
        <f t="shared" si="10"/>
        <v>0</v>
      </c>
      <c r="I39" s="138">
        <f t="shared" si="11"/>
        <v>0</v>
      </c>
      <c r="J39" s="18">
        <f t="shared" si="12"/>
        <v>0</v>
      </c>
      <c r="K39" s="19">
        <f t="shared" si="13"/>
        <v>0</v>
      </c>
    </row>
    <row r="40" spans="1:11" s="1" customFormat="1" ht="12.75">
      <c r="A40" s="4"/>
      <c r="B40" s="38" t="s">
        <v>34</v>
      </c>
      <c r="C40" s="147"/>
      <c r="D40" s="12">
        <f t="shared" si="7"/>
        <v>0</v>
      </c>
      <c r="E40" s="32">
        <f t="shared" si="8"/>
        <v>0</v>
      </c>
      <c r="F40" s="132"/>
      <c r="G40" s="12">
        <f t="shared" si="9"/>
        <v>0</v>
      </c>
      <c r="H40" s="32">
        <f t="shared" si="10"/>
        <v>0</v>
      </c>
      <c r="I40" s="132">
        <f t="shared" si="11"/>
        <v>0</v>
      </c>
      <c r="J40" s="12">
        <f t="shared" si="12"/>
        <v>0</v>
      </c>
      <c r="K40" s="13">
        <f t="shared" si="13"/>
        <v>0</v>
      </c>
    </row>
    <row r="41" spans="1:11" s="1" customFormat="1" ht="12.75">
      <c r="A41" s="4"/>
      <c r="B41" s="38" t="s">
        <v>25</v>
      </c>
      <c r="C41" s="147"/>
      <c r="D41" s="12">
        <f t="shared" si="7"/>
        <v>0</v>
      </c>
      <c r="E41" s="32">
        <f t="shared" si="8"/>
        <v>0</v>
      </c>
      <c r="F41" s="132"/>
      <c r="G41" s="12">
        <f t="shared" si="9"/>
        <v>0</v>
      </c>
      <c r="H41" s="32">
        <f t="shared" si="10"/>
        <v>0</v>
      </c>
      <c r="I41" s="132">
        <f t="shared" si="11"/>
        <v>0</v>
      </c>
      <c r="J41" s="12">
        <f t="shared" si="12"/>
        <v>0</v>
      </c>
      <c r="K41" s="13">
        <f t="shared" si="13"/>
        <v>0</v>
      </c>
    </row>
    <row r="42" spans="1:11" s="1" customFormat="1" ht="13.5" thickBot="1">
      <c r="A42" s="5"/>
      <c r="B42" s="38" t="s">
        <v>35</v>
      </c>
      <c r="C42" s="147"/>
      <c r="D42" s="12">
        <f t="shared" si="7"/>
        <v>0</v>
      </c>
      <c r="E42" s="32">
        <f t="shared" si="8"/>
        <v>0</v>
      </c>
      <c r="F42" s="133"/>
      <c r="G42" s="12">
        <f t="shared" si="9"/>
        <v>0</v>
      </c>
      <c r="H42" s="32">
        <f t="shared" si="10"/>
        <v>0</v>
      </c>
      <c r="I42" s="132">
        <f t="shared" si="11"/>
        <v>0</v>
      </c>
      <c r="J42" s="12">
        <f t="shared" si="12"/>
        <v>0</v>
      </c>
      <c r="K42" s="13">
        <f t="shared" si="13"/>
        <v>0</v>
      </c>
    </row>
    <row r="43" spans="1:11" s="6" customFormat="1" ht="23.25" customHeight="1" thickBot="1">
      <c r="A43" s="98" t="s">
        <v>21</v>
      </c>
      <c r="B43" s="92" t="s">
        <v>64</v>
      </c>
      <c r="C43" s="148"/>
      <c r="D43" s="94">
        <f t="shared" si="7"/>
        <v>0</v>
      </c>
      <c r="E43" s="95">
        <f t="shared" si="8"/>
        <v>0</v>
      </c>
      <c r="F43" s="135"/>
      <c r="G43" s="94">
        <f t="shared" si="9"/>
        <v>0</v>
      </c>
      <c r="H43" s="95">
        <f t="shared" si="10"/>
        <v>0</v>
      </c>
      <c r="I43" s="145">
        <f t="shared" si="11"/>
        <v>0</v>
      </c>
      <c r="J43" s="94">
        <f t="shared" si="12"/>
        <v>0</v>
      </c>
      <c r="K43" s="113">
        <f t="shared" si="13"/>
        <v>0</v>
      </c>
    </row>
    <row r="44" spans="1:11" s="1" customFormat="1" ht="33.75" customHeight="1">
      <c r="A44" s="9"/>
      <c r="B44" s="44" t="s">
        <v>81</v>
      </c>
      <c r="C44" s="146"/>
      <c r="D44" s="18">
        <f t="shared" si="7"/>
        <v>0</v>
      </c>
      <c r="E44" s="31">
        <f t="shared" si="8"/>
        <v>0</v>
      </c>
      <c r="F44" s="143"/>
      <c r="G44" s="18">
        <f t="shared" si="9"/>
        <v>0</v>
      </c>
      <c r="H44" s="31">
        <f t="shared" si="10"/>
        <v>0</v>
      </c>
      <c r="I44" s="138">
        <f t="shared" si="11"/>
        <v>0</v>
      </c>
      <c r="J44" s="18">
        <f t="shared" si="12"/>
        <v>0</v>
      </c>
      <c r="K44" s="19">
        <f t="shared" si="13"/>
        <v>0</v>
      </c>
    </row>
    <row r="45" spans="1:11" s="1" customFormat="1" ht="16.5" customHeight="1" thickBot="1">
      <c r="A45" s="4"/>
      <c r="B45" s="43" t="s">
        <v>79</v>
      </c>
      <c r="C45" s="147"/>
      <c r="D45" s="12">
        <f t="shared" si="7"/>
        <v>0</v>
      </c>
      <c r="E45" s="32">
        <f t="shared" si="8"/>
        <v>0</v>
      </c>
      <c r="F45" s="141"/>
      <c r="G45" s="12">
        <f t="shared" si="9"/>
        <v>0</v>
      </c>
      <c r="H45" s="32">
        <f t="shared" si="10"/>
        <v>0</v>
      </c>
      <c r="I45" s="132">
        <f t="shared" si="11"/>
        <v>0</v>
      </c>
      <c r="J45" s="12">
        <f t="shared" si="12"/>
        <v>0</v>
      </c>
      <c r="K45" s="13">
        <f t="shared" si="13"/>
        <v>0</v>
      </c>
    </row>
    <row r="46" spans="1:11" s="1" customFormat="1" ht="18" customHeight="1" thickBot="1">
      <c r="A46" s="99" t="s">
        <v>77</v>
      </c>
      <c r="B46" s="92" t="s">
        <v>63</v>
      </c>
      <c r="C46" s="148"/>
      <c r="D46" s="94">
        <f t="shared" si="7"/>
        <v>0</v>
      </c>
      <c r="E46" s="95">
        <f t="shared" si="8"/>
        <v>0</v>
      </c>
      <c r="F46" s="135"/>
      <c r="G46" s="94">
        <f t="shared" si="9"/>
        <v>0</v>
      </c>
      <c r="H46" s="95">
        <f t="shared" si="10"/>
        <v>0</v>
      </c>
      <c r="I46" s="145">
        <f t="shared" si="11"/>
        <v>0</v>
      </c>
      <c r="J46" s="94">
        <f t="shared" si="12"/>
        <v>0</v>
      </c>
      <c r="K46" s="97">
        <f t="shared" si="13"/>
        <v>0</v>
      </c>
    </row>
    <row r="47" spans="1:11" s="6" customFormat="1" ht="21" customHeight="1" thickBot="1">
      <c r="A47" s="99" t="s">
        <v>29</v>
      </c>
      <c r="B47" s="92" t="s">
        <v>65</v>
      </c>
      <c r="C47" s="148"/>
      <c r="D47" s="94">
        <f t="shared" si="7"/>
        <v>0</v>
      </c>
      <c r="E47" s="95">
        <f t="shared" si="8"/>
        <v>0</v>
      </c>
      <c r="F47" s="135">
        <v>2</v>
      </c>
      <c r="G47" s="94">
        <f t="shared" si="9"/>
        <v>0.00966589822775756</v>
      </c>
      <c r="H47" s="95">
        <f t="shared" si="10"/>
        <v>0.12658227848101267</v>
      </c>
      <c r="I47" s="145">
        <f t="shared" si="11"/>
        <v>2</v>
      </c>
      <c r="J47" s="94">
        <f t="shared" si="12"/>
        <v>0.008209068558036062</v>
      </c>
      <c r="K47" s="97">
        <f t="shared" si="13"/>
        <v>0.12634238787113075</v>
      </c>
    </row>
    <row r="48" spans="1:11" s="6" customFormat="1" ht="19.5" customHeight="1" thickBot="1">
      <c r="A48" s="98" t="s">
        <v>30</v>
      </c>
      <c r="B48" s="92" t="s">
        <v>66</v>
      </c>
      <c r="C48" s="148"/>
      <c r="D48" s="94">
        <f t="shared" si="7"/>
        <v>0</v>
      </c>
      <c r="E48" s="95">
        <f t="shared" si="8"/>
        <v>0</v>
      </c>
      <c r="F48" s="135">
        <f>23+17</f>
        <v>40</v>
      </c>
      <c r="G48" s="94">
        <f t="shared" si="9"/>
        <v>0.1933179645551512</v>
      </c>
      <c r="H48" s="95">
        <f t="shared" si="10"/>
        <v>2.5316455696202533</v>
      </c>
      <c r="I48" s="145">
        <f t="shared" si="11"/>
        <v>40</v>
      </c>
      <c r="J48" s="94">
        <f t="shared" si="12"/>
        <v>0.16418137116072126</v>
      </c>
      <c r="K48" s="97">
        <f t="shared" si="13"/>
        <v>2.5268477574226154</v>
      </c>
    </row>
    <row r="49" spans="1:11" s="1" customFormat="1" ht="17.25" customHeight="1">
      <c r="A49" s="4"/>
      <c r="B49" s="40" t="s">
        <v>67</v>
      </c>
      <c r="C49" s="146"/>
      <c r="D49" s="18">
        <f t="shared" si="7"/>
        <v>0</v>
      </c>
      <c r="E49" s="31">
        <f t="shared" si="8"/>
        <v>0</v>
      </c>
      <c r="F49" s="138"/>
      <c r="G49" s="18">
        <f t="shared" si="9"/>
        <v>0</v>
      </c>
      <c r="H49" s="31">
        <f t="shared" si="10"/>
        <v>0</v>
      </c>
      <c r="I49" s="138">
        <f t="shared" si="11"/>
        <v>0</v>
      </c>
      <c r="J49" s="18">
        <f t="shared" si="12"/>
        <v>0</v>
      </c>
      <c r="K49" s="19">
        <f t="shared" si="13"/>
        <v>0</v>
      </c>
    </row>
    <row r="50" spans="1:11" s="1" customFormat="1" ht="12.75">
      <c r="A50" s="4"/>
      <c r="B50" s="38" t="s">
        <v>71</v>
      </c>
      <c r="C50" s="147"/>
      <c r="D50" s="12">
        <f t="shared" si="7"/>
        <v>0</v>
      </c>
      <c r="E50" s="32">
        <f t="shared" si="8"/>
        <v>0</v>
      </c>
      <c r="F50" s="132"/>
      <c r="G50" s="12">
        <f t="shared" si="9"/>
        <v>0</v>
      </c>
      <c r="H50" s="32">
        <f t="shared" si="10"/>
        <v>0</v>
      </c>
      <c r="I50" s="132">
        <f t="shared" si="11"/>
        <v>0</v>
      </c>
      <c r="J50" s="12">
        <f t="shared" si="12"/>
        <v>0</v>
      </c>
      <c r="K50" s="13">
        <f t="shared" si="13"/>
        <v>0</v>
      </c>
    </row>
    <row r="51" spans="1:11" s="1" customFormat="1" ht="15.75" customHeight="1">
      <c r="A51" s="4"/>
      <c r="B51" s="38" t="s">
        <v>68</v>
      </c>
      <c r="C51" s="147"/>
      <c r="D51" s="12">
        <f t="shared" si="7"/>
        <v>0</v>
      </c>
      <c r="E51" s="32">
        <f t="shared" si="8"/>
        <v>0</v>
      </c>
      <c r="F51" s="132">
        <v>6</v>
      </c>
      <c r="G51" s="12">
        <f t="shared" si="9"/>
        <v>0.02899769468327268</v>
      </c>
      <c r="H51" s="32">
        <f t="shared" si="10"/>
        <v>0.379746835443038</v>
      </c>
      <c r="I51" s="132">
        <f t="shared" si="11"/>
        <v>6</v>
      </c>
      <c r="J51" s="12">
        <f t="shared" si="12"/>
        <v>0.02462720567410819</v>
      </c>
      <c r="K51" s="13">
        <f t="shared" si="13"/>
        <v>0.3790271636133923</v>
      </c>
    </row>
    <row r="52" spans="1:11" s="1" customFormat="1" ht="12.75">
      <c r="A52" s="4"/>
      <c r="B52" s="38" t="s">
        <v>72</v>
      </c>
      <c r="C52" s="147"/>
      <c r="D52" s="12">
        <f t="shared" si="7"/>
        <v>0</v>
      </c>
      <c r="E52" s="32">
        <f t="shared" si="8"/>
        <v>0</v>
      </c>
      <c r="F52" s="132">
        <v>6</v>
      </c>
      <c r="G52" s="12">
        <f t="shared" si="9"/>
        <v>0.02899769468327268</v>
      </c>
      <c r="H52" s="32">
        <f t="shared" si="10"/>
        <v>0.379746835443038</v>
      </c>
      <c r="I52" s="132">
        <f t="shared" si="11"/>
        <v>6</v>
      </c>
      <c r="J52" s="12">
        <f t="shared" si="12"/>
        <v>0.02462720567410819</v>
      </c>
      <c r="K52" s="13">
        <f t="shared" si="13"/>
        <v>0.3790271636133923</v>
      </c>
    </row>
    <row r="53" spans="1:11" s="1" customFormat="1" ht="16.5" customHeight="1">
      <c r="A53" s="4"/>
      <c r="B53" s="38" t="s">
        <v>69</v>
      </c>
      <c r="C53" s="147"/>
      <c r="D53" s="12">
        <f t="shared" si="7"/>
        <v>0</v>
      </c>
      <c r="E53" s="32">
        <f t="shared" si="8"/>
        <v>0</v>
      </c>
      <c r="F53" s="132"/>
      <c r="G53" s="12">
        <f t="shared" si="9"/>
        <v>0</v>
      </c>
      <c r="H53" s="32">
        <f t="shared" si="10"/>
        <v>0</v>
      </c>
      <c r="I53" s="132">
        <f t="shared" si="11"/>
        <v>0</v>
      </c>
      <c r="J53" s="12">
        <f t="shared" si="12"/>
        <v>0</v>
      </c>
      <c r="K53" s="13">
        <f t="shared" si="13"/>
        <v>0</v>
      </c>
    </row>
    <row r="54" spans="1:11" s="1" customFormat="1" ht="12" customHeight="1">
      <c r="A54" s="4"/>
      <c r="B54" s="38" t="s">
        <v>73</v>
      </c>
      <c r="C54" s="147"/>
      <c r="D54" s="12">
        <f t="shared" si="7"/>
        <v>0</v>
      </c>
      <c r="E54" s="32">
        <f t="shared" si="8"/>
        <v>0</v>
      </c>
      <c r="F54" s="132"/>
      <c r="G54" s="12">
        <f t="shared" si="9"/>
        <v>0</v>
      </c>
      <c r="H54" s="32">
        <f t="shared" si="10"/>
        <v>0</v>
      </c>
      <c r="I54" s="132">
        <f t="shared" si="11"/>
        <v>0</v>
      </c>
      <c r="J54" s="12">
        <f t="shared" si="12"/>
        <v>0</v>
      </c>
      <c r="K54" s="13">
        <f t="shared" si="13"/>
        <v>0</v>
      </c>
    </row>
    <row r="55" spans="1:11" s="1" customFormat="1" ht="16.5" customHeight="1">
      <c r="A55" s="4"/>
      <c r="B55" s="38" t="s">
        <v>70</v>
      </c>
      <c r="C55" s="147"/>
      <c r="D55" s="12">
        <f t="shared" si="7"/>
        <v>0</v>
      </c>
      <c r="E55" s="32">
        <f t="shared" si="8"/>
        <v>0</v>
      </c>
      <c r="F55" s="132"/>
      <c r="G55" s="12">
        <f t="shared" si="9"/>
        <v>0</v>
      </c>
      <c r="H55" s="32">
        <f t="shared" si="10"/>
        <v>0</v>
      </c>
      <c r="I55" s="132">
        <f t="shared" si="11"/>
        <v>0</v>
      </c>
      <c r="J55" s="12">
        <f t="shared" si="12"/>
        <v>0</v>
      </c>
      <c r="K55" s="13">
        <f t="shared" si="13"/>
        <v>0</v>
      </c>
    </row>
    <row r="56" spans="1:11" s="1" customFormat="1" ht="12.75">
      <c r="A56" s="4"/>
      <c r="B56" s="38" t="s">
        <v>74</v>
      </c>
      <c r="C56" s="147"/>
      <c r="D56" s="12">
        <f t="shared" si="7"/>
        <v>0</v>
      </c>
      <c r="E56" s="32">
        <f t="shared" si="8"/>
        <v>0</v>
      </c>
      <c r="F56" s="132"/>
      <c r="G56" s="12">
        <f t="shared" si="9"/>
        <v>0</v>
      </c>
      <c r="H56" s="32">
        <f t="shared" si="10"/>
        <v>0</v>
      </c>
      <c r="I56" s="132">
        <f t="shared" si="11"/>
        <v>0</v>
      </c>
      <c r="J56" s="12">
        <f t="shared" si="12"/>
        <v>0</v>
      </c>
      <c r="K56" s="13">
        <f t="shared" si="13"/>
        <v>0</v>
      </c>
    </row>
    <row r="57" spans="1:11" s="1" customFormat="1" ht="13.5" thickBot="1">
      <c r="A57" s="4"/>
      <c r="B57" s="38" t="s">
        <v>33</v>
      </c>
      <c r="C57" s="152"/>
      <c r="D57" s="12">
        <f t="shared" si="7"/>
        <v>0</v>
      </c>
      <c r="E57" s="32">
        <f t="shared" si="8"/>
        <v>0</v>
      </c>
      <c r="F57" s="139"/>
      <c r="G57" s="12">
        <f t="shared" si="9"/>
        <v>0</v>
      </c>
      <c r="H57" s="32">
        <f t="shared" si="10"/>
        <v>0</v>
      </c>
      <c r="I57" s="132">
        <f t="shared" si="11"/>
        <v>0</v>
      </c>
      <c r="J57" s="12">
        <f t="shared" si="12"/>
        <v>0</v>
      </c>
      <c r="K57" s="13">
        <f t="shared" si="13"/>
        <v>0</v>
      </c>
    </row>
    <row r="58" spans="1:11" s="6" customFormat="1" ht="18.75" customHeight="1" thickBot="1">
      <c r="A58" s="82"/>
      <c r="B58" s="83" t="s">
        <v>22</v>
      </c>
      <c r="C58" s="148">
        <f>C48+C47+C46+C43+C38+C34+C33+C32+C27+C22+C18+C17+C16+C14+C13+C11+C10+C8+C5</f>
        <v>3</v>
      </c>
      <c r="D58" s="215">
        <f t="shared" si="7"/>
        <v>0.08169934640522876</v>
      </c>
      <c r="E58" s="33"/>
      <c r="F58" s="145">
        <f>F48+F47+F46+F43+F38+F34+F33+F32+F27+F22+F18+F17+F16+F14+F13+F11+F10+F8+F5</f>
        <v>1580</v>
      </c>
      <c r="G58" s="216">
        <f t="shared" si="9"/>
        <v>7.636059599928473</v>
      </c>
      <c r="H58" s="33"/>
      <c r="I58" s="145">
        <f>I48+I47+I46+I43+I38+I34+I33+I32+I27+I22+I18+I17+I16+I14+I13+I11+I10+I8+I5</f>
        <v>1583</v>
      </c>
      <c r="J58" s="216">
        <f t="shared" si="12"/>
        <v>6.497477763685543</v>
      </c>
      <c r="K58" s="11"/>
    </row>
    <row r="59" spans="1:11" s="6" customFormat="1" ht="22.5" customHeight="1">
      <c r="A59" s="15"/>
      <c r="B59" s="235"/>
      <c r="C59" s="235"/>
      <c r="D59" s="235"/>
      <c r="E59" s="235"/>
      <c r="F59" s="235"/>
      <c r="G59" s="235"/>
      <c r="H59" s="235"/>
      <c r="I59" s="236"/>
      <c r="J59" s="236"/>
      <c r="K59" s="236"/>
    </row>
  </sheetData>
  <sheetProtection/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8"/>
  <sheetViews>
    <sheetView showZeros="0" tabSelected="1" zoomScale="75" zoomScaleNormal="75" zoomScalePageLayoutView="0" workbookViewId="0" topLeftCell="A1">
      <pane ySplit="4" topLeftCell="A5" activePane="bottomLeft" state="frozen"/>
      <selection pane="topLeft" activeCell="C7" sqref="C7"/>
      <selection pane="bottomLeft" activeCell="I31" sqref="I31"/>
    </sheetView>
  </sheetViews>
  <sheetFormatPr defaultColWidth="9.00390625" defaultRowHeight="12.75"/>
  <cols>
    <col min="1" max="1" width="5.625" style="0" customWidth="1"/>
    <col min="2" max="2" width="49.75390625" style="0" customWidth="1"/>
    <col min="3" max="3" width="10.25390625" style="0" customWidth="1"/>
    <col min="4" max="4" width="11.00390625" style="0" customWidth="1"/>
    <col min="5" max="5" width="8.625" style="0" customWidth="1"/>
    <col min="6" max="6" width="10.125" style="0" customWidth="1"/>
    <col min="7" max="7" width="10.375" style="0" customWidth="1"/>
    <col min="8" max="8" width="8.625" style="0" customWidth="1"/>
    <col min="9" max="9" width="9.25390625" style="0" customWidth="1"/>
    <col min="10" max="10" width="10.375" style="0" customWidth="1"/>
    <col min="11" max="11" width="8.125" style="0" customWidth="1"/>
  </cols>
  <sheetData>
    <row r="1" spans="1:11" ht="21.75" customHeight="1">
      <c r="A1" s="237" t="s">
        <v>99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2:11" s="6" customFormat="1" ht="24" customHeight="1" thickBot="1">
      <c r="B2" s="211"/>
      <c r="C2" s="211"/>
      <c r="D2" s="229">
        <v>36720</v>
      </c>
      <c r="E2" s="23"/>
      <c r="F2" s="23"/>
      <c r="G2" s="229">
        <f>J2-D2</f>
        <v>206913</v>
      </c>
      <c r="H2" s="2"/>
      <c r="I2" s="2"/>
      <c r="J2" s="229">
        <v>243633</v>
      </c>
      <c r="K2" s="211"/>
    </row>
    <row r="3" spans="1:11" ht="14.25" customHeight="1">
      <c r="A3" s="53" t="s">
        <v>0</v>
      </c>
      <c r="B3" s="251" t="s">
        <v>5</v>
      </c>
      <c r="C3" s="176" t="s">
        <v>1</v>
      </c>
      <c r="D3" s="177"/>
      <c r="E3" s="177"/>
      <c r="F3" s="176" t="s">
        <v>2</v>
      </c>
      <c r="G3" s="177"/>
      <c r="H3" s="177"/>
      <c r="I3" s="176" t="s">
        <v>3</v>
      </c>
      <c r="J3" s="177"/>
      <c r="K3" s="178"/>
    </row>
    <row r="4" spans="1:11" ht="34.5" customHeight="1" thickBot="1">
      <c r="A4" s="54" t="s">
        <v>4</v>
      </c>
      <c r="B4" s="252"/>
      <c r="C4" s="179" t="s">
        <v>6</v>
      </c>
      <c r="D4" s="180" t="s">
        <v>7</v>
      </c>
      <c r="E4" s="181" t="s">
        <v>8</v>
      </c>
      <c r="F4" s="179" t="s">
        <v>6</v>
      </c>
      <c r="G4" s="180" t="s">
        <v>7</v>
      </c>
      <c r="H4" s="181" t="s">
        <v>8</v>
      </c>
      <c r="I4" s="179" t="s">
        <v>6</v>
      </c>
      <c r="J4" s="180" t="s">
        <v>7</v>
      </c>
      <c r="K4" s="182" t="s">
        <v>8</v>
      </c>
    </row>
    <row r="5" spans="1:11" s="6" customFormat="1" ht="18" customHeight="1" thickBot="1">
      <c r="A5" s="114" t="s">
        <v>9</v>
      </c>
      <c r="B5" s="100" t="s">
        <v>26</v>
      </c>
      <c r="C5" s="135">
        <f>SUM(Област2016:КОЦ!C5)</f>
        <v>594</v>
      </c>
      <c r="D5" s="107">
        <f aca="true" t="shared" si="0" ref="D5:D36">C5*1000/$D$2</f>
        <v>16.176470588235293</v>
      </c>
      <c r="E5" s="108">
        <f aca="true" t="shared" si="1" ref="E5:E36">C5*100/C$58</f>
        <v>10.28749567024593</v>
      </c>
      <c r="F5" s="135">
        <f>SUM(Област2016:КОЦ!F5)</f>
        <v>695</v>
      </c>
      <c r="G5" s="107">
        <f aca="true" t="shared" si="2" ref="G5:G36">F5*1000/$G$2</f>
        <v>3.358899634145752</v>
      </c>
      <c r="H5" s="108">
        <f aca="true" t="shared" si="3" ref="H5:H36">F5*100/F$58</f>
        <v>1.9144423325895932</v>
      </c>
      <c r="I5" s="135">
        <f aca="true" t="shared" si="4" ref="I5:I36">SUM(C5,F5)</f>
        <v>1289</v>
      </c>
      <c r="J5" s="107">
        <f aca="true" t="shared" si="5" ref="J5:J36">I5*1000/$J$2</f>
        <v>5.290744685654242</v>
      </c>
      <c r="K5" s="183">
        <f aca="true" t="shared" si="6" ref="K5:K36">I5*100/I$58</f>
        <v>3.0634313282791075</v>
      </c>
    </row>
    <row r="6" spans="1:11" s="7" customFormat="1" ht="17.25" customHeight="1">
      <c r="A6" s="4"/>
      <c r="B6" s="40" t="s">
        <v>36</v>
      </c>
      <c r="C6" s="168">
        <f>SUM(Област2016:КОЦ!C6)</f>
        <v>502</v>
      </c>
      <c r="D6" s="55">
        <f t="shared" si="0"/>
        <v>13.671023965141613</v>
      </c>
      <c r="E6" s="36">
        <f t="shared" si="1"/>
        <v>8.694146172497403</v>
      </c>
      <c r="F6" s="168">
        <f>SUM(Област2016:КОЦ!F6)</f>
        <v>384</v>
      </c>
      <c r="G6" s="25">
        <f t="shared" si="2"/>
        <v>1.8558524597294515</v>
      </c>
      <c r="H6" s="36">
        <f t="shared" si="3"/>
        <v>1.057763821171804</v>
      </c>
      <c r="I6" s="171">
        <f t="shared" si="4"/>
        <v>886</v>
      </c>
      <c r="J6" s="25">
        <f t="shared" si="5"/>
        <v>3.636617371209976</v>
      </c>
      <c r="K6" s="56">
        <f t="shared" si="6"/>
        <v>2.1056634265750884</v>
      </c>
    </row>
    <row r="7" spans="1:11" s="7" customFormat="1" ht="18.75" customHeight="1" thickBot="1">
      <c r="A7" s="4"/>
      <c r="B7" s="39" t="s">
        <v>37</v>
      </c>
      <c r="C7" s="173">
        <f>SUM(Област2016:КОЦ!C7)</f>
        <v>0</v>
      </c>
      <c r="D7" s="55">
        <f t="shared" si="0"/>
        <v>0</v>
      </c>
      <c r="E7" s="36">
        <f t="shared" si="1"/>
        <v>0</v>
      </c>
      <c r="F7" s="169">
        <f>SUM(Област2016:КОЦ!F7)</f>
        <v>48</v>
      </c>
      <c r="G7" s="57">
        <f t="shared" si="2"/>
        <v>0.23198155746618143</v>
      </c>
      <c r="H7" s="34">
        <f t="shared" si="3"/>
        <v>0.1322204776464755</v>
      </c>
      <c r="I7" s="174">
        <f t="shared" si="4"/>
        <v>48</v>
      </c>
      <c r="J7" s="57">
        <f t="shared" si="5"/>
        <v>0.1970176453928655</v>
      </c>
      <c r="K7" s="56">
        <f t="shared" si="6"/>
        <v>0.11407657390023053</v>
      </c>
    </row>
    <row r="8" spans="1:11" s="6" customFormat="1" ht="18" customHeight="1" thickBot="1">
      <c r="A8" s="114" t="s">
        <v>10</v>
      </c>
      <c r="B8" s="100" t="s">
        <v>38</v>
      </c>
      <c r="C8" s="135">
        <f>SUM(Област2016:КОЦ!C8)</f>
        <v>9</v>
      </c>
      <c r="D8" s="107">
        <f t="shared" si="0"/>
        <v>0.24509803921568626</v>
      </c>
      <c r="E8" s="108">
        <f t="shared" si="1"/>
        <v>0.15587114651887773</v>
      </c>
      <c r="F8" s="135">
        <f>SUM(Област2016:КОЦ!F8)</f>
        <v>1880</v>
      </c>
      <c r="G8" s="107">
        <f t="shared" si="2"/>
        <v>9.085944334092106</v>
      </c>
      <c r="H8" s="108">
        <f t="shared" si="3"/>
        <v>5.178635374486957</v>
      </c>
      <c r="I8" s="135">
        <f t="shared" si="4"/>
        <v>1889</v>
      </c>
      <c r="J8" s="107">
        <f t="shared" si="5"/>
        <v>7.753465253065061</v>
      </c>
      <c r="K8" s="183">
        <f t="shared" si="6"/>
        <v>4.489388502031989</v>
      </c>
    </row>
    <row r="9" spans="1:11" s="7" customFormat="1" ht="15" customHeight="1" thickBot="1">
      <c r="A9" s="16"/>
      <c r="B9" s="40" t="s">
        <v>39</v>
      </c>
      <c r="C9" s="170">
        <f>SUM(Област2016:КОЦ!C9)</f>
        <v>0</v>
      </c>
      <c r="D9" s="55">
        <f t="shared" si="0"/>
        <v>0</v>
      </c>
      <c r="E9" s="58">
        <f t="shared" si="1"/>
        <v>0</v>
      </c>
      <c r="F9" s="170">
        <f>SUM(Област2016:КОЦ!F9)</f>
        <v>1249</v>
      </c>
      <c r="G9" s="55">
        <f t="shared" si="2"/>
        <v>6.036353443234596</v>
      </c>
      <c r="H9" s="59">
        <f t="shared" si="3"/>
        <v>3.4404870120926647</v>
      </c>
      <c r="I9" s="171">
        <f t="shared" si="4"/>
        <v>1249</v>
      </c>
      <c r="J9" s="55">
        <f t="shared" si="5"/>
        <v>5.126563314493521</v>
      </c>
      <c r="K9" s="60">
        <f t="shared" si="6"/>
        <v>2.968367516695582</v>
      </c>
    </row>
    <row r="10" spans="1:11" s="6" customFormat="1" ht="20.25" customHeight="1" thickBot="1">
      <c r="A10" s="91" t="s">
        <v>11</v>
      </c>
      <c r="B10" s="92" t="s">
        <v>40</v>
      </c>
      <c r="C10" s="135">
        <f>SUM(Област2016:КОЦ!C10)</f>
        <v>5</v>
      </c>
      <c r="D10" s="107">
        <f t="shared" si="0"/>
        <v>0.13616557734204793</v>
      </c>
      <c r="E10" s="108">
        <f t="shared" si="1"/>
        <v>0.08659508139937652</v>
      </c>
      <c r="F10" s="135">
        <f>SUM(Област2016:КОЦ!F10)</f>
        <v>183</v>
      </c>
      <c r="G10" s="107">
        <f t="shared" si="2"/>
        <v>0.8844296878398167</v>
      </c>
      <c r="H10" s="108">
        <f t="shared" si="3"/>
        <v>0.5040905710271878</v>
      </c>
      <c r="I10" s="135">
        <f t="shared" si="4"/>
        <v>188</v>
      </c>
      <c r="J10" s="107">
        <f t="shared" si="5"/>
        <v>0.7716524444553898</v>
      </c>
      <c r="K10" s="183">
        <f t="shared" si="6"/>
        <v>0.44679991444256956</v>
      </c>
    </row>
    <row r="11" spans="1:11" s="7" customFormat="1" ht="27.75" customHeight="1" thickBot="1">
      <c r="A11" s="98" t="s">
        <v>12</v>
      </c>
      <c r="B11" s="142" t="s">
        <v>41</v>
      </c>
      <c r="C11" s="135">
        <f>SUM(Област2016:КОЦ!C11)</f>
        <v>10</v>
      </c>
      <c r="D11" s="107">
        <f t="shared" si="0"/>
        <v>0.27233115468409586</v>
      </c>
      <c r="E11" s="192">
        <f t="shared" si="1"/>
        <v>0.17319016279875304</v>
      </c>
      <c r="F11" s="135">
        <f>SUM(Област2016:КОЦ!F11)</f>
        <v>1276</v>
      </c>
      <c r="G11" s="191">
        <f t="shared" si="2"/>
        <v>6.166843069309323</v>
      </c>
      <c r="H11" s="108">
        <f t="shared" si="3"/>
        <v>3.514861030768807</v>
      </c>
      <c r="I11" s="185">
        <f t="shared" si="4"/>
        <v>1286</v>
      </c>
      <c r="J11" s="191">
        <f t="shared" si="5"/>
        <v>5.278431082817188</v>
      </c>
      <c r="K11" s="193">
        <f t="shared" si="6"/>
        <v>3.056301542410343</v>
      </c>
    </row>
    <row r="12" spans="1:11" s="6" customFormat="1" ht="14.25" customHeight="1" thickBot="1">
      <c r="A12" s="17"/>
      <c r="B12" s="41" t="s">
        <v>78</v>
      </c>
      <c r="C12" s="170">
        <f>SUM(Област2016:КОЦ!C12)</f>
        <v>9</v>
      </c>
      <c r="D12" s="61">
        <f t="shared" si="0"/>
        <v>0.24509803921568626</v>
      </c>
      <c r="E12" s="62">
        <f t="shared" si="1"/>
        <v>0.15587114651887773</v>
      </c>
      <c r="F12" s="170">
        <f>SUM(Област2016:КОЦ!F12)</f>
        <v>1236</v>
      </c>
      <c r="G12" s="61">
        <f t="shared" si="2"/>
        <v>5.973525104754172</v>
      </c>
      <c r="H12" s="34">
        <f t="shared" si="3"/>
        <v>3.4046772993967442</v>
      </c>
      <c r="I12" s="169">
        <f t="shared" si="4"/>
        <v>1245</v>
      </c>
      <c r="J12" s="61">
        <f t="shared" si="5"/>
        <v>5.110145177377449</v>
      </c>
      <c r="K12" s="63">
        <f t="shared" si="6"/>
        <v>2.958861135537229</v>
      </c>
    </row>
    <row r="13" spans="1:11" s="6" customFormat="1" ht="14.25" customHeight="1" thickBot="1">
      <c r="A13" s="99" t="s">
        <v>13</v>
      </c>
      <c r="B13" s="100" t="s">
        <v>42</v>
      </c>
      <c r="C13" s="212">
        <f>SUM(Област2016:КОЦ!C13)</f>
        <v>1</v>
      </c>
      <c r="D13" s="107">
        <f t="shared" si="0"/>
        <v>0.027233115468409588</v>
      </c>
      <c r="E13" s="108">
        <f t="shared" si="1"/>
        <v>0.017319016279875303</v>
      </c>
      <c r="F13" s="135">
        <f>SUM(Област2016:КОЦ!F13)</f>
        <v>1985</v>
      </c>
      <c r="G13" s="107">
        <f t="shared" si="2"/>
        <v>9.593403991049378</v>
      </c>
      <c r="H13" s="108">
        <f t="shared" si="3"/>
        <v>5.467867669338622</v>
      </c>
      <c r="I13" s="135">
        <f t="shared" si="4"/>
        <v>1986</v>
      </c>
      <c r="J13" s="107">
        <f t="shared" si="5"/>
        <v>8.15160507812981</v>
      </c>
      <c r="K13" s="183">
        <f t="shared" si="6"/>
        <v>4.719918245122038</v>
      </c>
    </row>
    <row r="14" spans="1:11" s="8" customFormat="1" ht="16.5" customHeight="1" thickBot="1">
      <c r="A14" s="99" t="s">
        <v>14</v>
      </c>
      <c r="B14" s="92" t="s">
        <v>43</v>
      </c>
      <c r="C14" s="135">
        <f>SUM(Област2016:КОЦ!C14)</f>
        <v>6</v>
      </c>
      <c r="D14" s="191">
        <f t="shared" si="0"/>
        <v>0.16339869281045752</v>
      </c>
      <c r="E14" s="192">
        <f t="shared" si="1"/>
        <v>0.10391409767925182</v>
      </c>
      <c r="F14" s="135">
        <f>SUM(Област2016:КОЦ!F14)</f>
        <v>1481</v>
      </c>
      <c r="G14" s="191">
        <f t="shared" si="2"/>
        <v>7.157597637654473</v>
      </c>
      <c r="H14" s="108">
        <f t="shared" si="3"/>
        <v>4.079552654050629</v>
      </c>
      <c r="I14" s="185">
        <f t="shared" si="4"/>
        <v>1487</v>
      </c>
      <c r="J14" s="191">
        <f t="shared" si="5"/>
        <v>6.103442472899812</v>
      </c>
      <c r="K14" s="193">
        <f t="shared" si="6"/>
        <v>3.5339971956175584</v>
      </c>
    </row>
    <row r="15" spans="1:11" s="7" customFormat="1" ht="14.25" customHeight="1" thickBot="1">
      <c r="A15" s="24"/>
      <c r="B15" s="47" t="s">
        <v>44</v>
      </c>
      <c r="C15" s="170">
        <f>SUM(Област2016:КОЦ!C15)</f>
        <v>0</v>
      </c>
      <c r="D15" s="61">
        <f t="shared" si="0"/>
        <v>0</v>
      </c>
      <c r="E15" s="62">
        <f t="shared" si="1"/>
        <v>0</v>
      </c>
      <c r="F15" s="170">
        <f>SUM(Област2016:КОЦ!F15)</f>
        <v>87</v>
      </c>
      <c r="G15" s="61">
        <f t="shared" si="2"/>
        <v>0.4204665729074539</v>
      </c>
      <c r="H15" s="34">
        <f t="shared" si="3"/>
        <v>0.23964961573423685</v>
      </c>
      <c r="I15" s="169">
        <f t="shared" si="4"/>
        <v>87</v>
      </c>
      <c r="J15" s="61">
        <f t="shared" si="5"/>
        <v>0.3570944822745687</v>
      </c>
      <c r="K15" s="63">
        <f t="shared" si="6"/>
        <v>0.20676379019416782</v>
      </c>
    </row>
    <row r="16" spans="1:11" s="7" customFormat="1" ht="18" customHeight="1" thickBot="1">
      <c r="A16" s="189" t="s">
        <v>15</v>
      </c>
      <c r="B16" s="100" t="s">
        <v>27</v>
      </c>
      <c r="C16" s="135">
        <f>SUM(Област2016:КОЦ!C16)</f>
        <v>8</v>
      </c>
      <c r="D16" s="191">
        <f t="shared" si="0"/>
        <v>0.2178649237472767</v>
      </c>
      <c r="E16" s="192">
        <f t="shared" si="1"/>
        <v>0.13855213023900242</v>
      </c>
      <c r="F16" s="135">
        <f>SUM(Област2016:КОЦ!F16)</f>
        <v>1037</v>
      </c>
      <c r="G16" s="191">
        <f t="shared" si="2"/>
        <v>5.011768231092295</v>
      </c>
      <c r="H16" s="108">
        <f t="shared" si="3"/>
        <v>2.856513235820731</v>
      </c>
      <c r="I16" s="185">
        <f t="shared" si="4"/>
        <v>1045</v>
      </c>
      <c r="J16" s="191">
        <f t="shared" si="5"/>
        <v>4.289238321573842</v>
      </c>
      <c r="K16" s="193">
        <f t="shared" si="6"/>
        <v>2.483542077619602</v>
      </c>
    </row>
    <row r="17" spans="1:11" s="7" customFormat="1" ht="18" customHeight="1" thickBot="1">
      <c r="A17" s="190" t="s">
        <v>16</v>
      </c>
      <c r="B17" s="92" t="s">
        <v>45</v>
      </c>
      <c r="C17" s="135">
        <f>SUM(Област2016:КОЦ!C17)</f>
        <v>6</v>
      </c>
      <c r="D17" s="194">
        <f t="shared" si="0"/>
        <v>0.16339869281045752</v>
      </c>
      <c r="E17" s="195">
        <f t="shared" si="1"/>
        <v>0.10391409767925182</v>
      </c>
      <c r="F17" s="135">
        <f>SUM(Област2016:КОЦ!F17)</f>
        <v>678</v>
      </c>
      <c r="G17" s="194">
        <f t="shared" si="2"/>
        <v>3.2767394992098127</v>
      </c>
      <c r="H17" s="196">
        <f t="shared" si="3"/>
        <v>1.8676142467564665</v>
      </c>
      <c r="I17" s="187">
        <f t="shared" si="4"/>
        <v>684</v>
      </c>
      <c r="J17" s="194">
        <f t="shared" si="5"/>
        <v>2.8075014468483332</v>
      </c>
      <c r="K17" s="197">
        <f t="shared" si="6"/>
        <v>1.625591178078285</v>
      </c>
    </row>
    <row r="18" spans="1:11" s="6" customFormat="1" ht="15.75" customHeight="1" thickBot="1">
      <c r="A18" s="99" t="s">
        <v>17</v>
      </c>
      <c r="B18" s="142" t="s">
        <v>46</v>
      </c>
      <c r="C18" s="135">
        <f>SUM(Област2016:КОЦ!C18)</f>
        <v>15</v>
      </c>
      <c r="D18" s="107">
        <f t="shared" si="0"/>
        <v>0.4084967320261438</v>
      </c>
      <c r="E18" s="108">
        <f t="shared" si="1"/>
        <v>0.25978524419812954</v>
      </c>
      <c r="F18" s="135">
        <f>SUM(Област2016:КОЦ!F18)</f>
        <v>9265</v>
      </c>
      <c r="G18" s="107">
        <f t="shared" si="2"/>
        <v>44.777273540086895</v>
      </c>
      <c r="H18" s="108">
        <f t="shared" si="3"/>
        <v>25.521306779054072</v>
      </c>
      <c r="I18" s="135">
        <f t="shared" si="4"/>
        <v>9280</v>
      </c>
      <c r="J18" s="107">
        <f t="shared" si="5"/>
        <v>38.09007810928733</v>
      </c>
      <c r="K18" s="183">
        <f t="shared" si="6"/>
        <v>22.0548042873779</v>
      </c>
    </row>
    <row r="19" spans="1:11" s="7" customFormat="1" ht="12.75" customHeight="1">
      <c r="A19" s="4"/>
      <c r="B19" s="40" t="s">
        <v>47</v>
      </c>
      <c r="C19" s="168">
        <f>SUM(Област2016:КОЦ!C19)</f>
        <v>0</v>
      </c>
      <c r="D19" s="55">
        <f t="shared" si="0"/>
        <v>0</v>
      </c>
      <c r="E19" s="58">
        <f t="shared" si="1"/>
        <v>0</v>
      </c>
      <c r="F19" s="168">
        <f>SUM(Област2016:КОЦ!F19)</f>
        <v>12</v>
      </c>
      <c r="G19" s="55">
        <f t="shared" si="2"/>
        <v>0.05799538936654536</v>
      </c>
      <c r="H19" s="36">
        <f t="shared" si="3"/>
        <v>0.03305511941161887</v>
      </c>
      <c r="I19" s="171">
        <f t="shared" si="4"/>
        <v>12</v>
      </c>
      <c r="J19" s="55">
        <f t="shared" si="5"/>
        <v>0.04925441134821638</v>
      </c>
      <c r="K19" s="60">
        <f t="shared" si="6"/>
        <v>0.028519143475057632</v>
      </c>
    </row>
    <row r="20" spans="1:11" s="7" customFormat="1" ht="14.25" customHeight="1">
      <c r="A20" s="4"/>
      <c r="B20" s="38" t="s">
        <v>48</v>
      </c>
      <c r="C20" s="172">
        <f>SUM(Област2016:КОЦ!C20)</f>
        <v>0</v>
      </c>
      <c r="D20" s="64">
        <f t="shared" si="0"/>
        <v>0</v>
      </c>
      <c r="E20" s="65">
        <f t="shared" si="1"/>
        <v>0</v>
      </c>
      <c r="F20" s="172">
        <f>SUM(Област2016:КОЦ!F20)</f>
        <v>2735</v>
      </c>
      <c r="G20" s="64">
        <f t="shared" si="2"/>
        <v>13.218115826458464</v>
      </c>
      <c r="H20" s="37">
        <f t="shared" si="3"/>
        <v>7.533812632564802</v>
      </c>
      <c r="I20" s="172">
        <f t="shared" si="4"/>
        <v>2735</v>
      </c>
      <c r="J20" s="64">
        <f t="shared" si="5"/>
        <v>11.225901253114316</v>
      </c>
      <c r="K20" s="66">
        <f t="shared" si="6"/>
        <v>6.499988117023552</v>
      </c>
    </row>
    <row r="21" spans="1:11" s="7" customFormat="1" ht="15" customHeight="1" thickBot="1">
      <c r="A21" s="4"/>
      <c r="B21" s="38" t="s">
        <v>49</v>
      </c>
      <c r="C21" s="173">
        <f>SUM(Област2016:КОЦ!C21)</f>
        <v>0</v>
      </c>
      <c r="D21" s="55">
        <f t="shared" si="0"/>
        <v>0</v>
      </c>
      <c r="E21" s="58">
        <f t="shared" si="1"/>
        <v>0</v>
      </c>
      <c r="F21" s="169">
        <f>SUM(Област2016:КОЦ!F21)</f>
        <v>1405</v>
      </c>
      <c r="G21" s="55">
        <f t="shared" si="2"/>
        <v>6.790293504999686</v>
      </c>
      <c r="H21" s="34">
        <f t="shared" si="3"/>
        <v>3.87020356444371</v>
      </c>
      <c r="I21" s="171">
        <f t="shared" si="4"/>
        <v>1405</v>
      </c>
      <c r="J21" s="55">
        <f t="shared" si="5"/>
        <v>5.766870662020334</v>
      </c>
      <c r="K21" s="60">
        <f t="shared" si="6"/>
        <v>3.339116381871331</v>
      </c>
    </row>
    <row r="22" spans="1:11" s="6" customFormat="1" ht="12.75" customHeight="1" thickBot="1">
      <c r="A22" s="99" t="s">
        <v>28</v>
      </c>
      <c r="B22" s="92" t="s">
        <v>50</v>
      </c>
      <c r="C22" s="135">
        <f>SUM(Област2016:КОЦ!C22)</f>
        <v>3207</v>
      </c>
      <c r="D22" s="107">
        <f t="shared" si="0"/>
        <v>87.33660130718954</v>
      </c>
      <c r="E22" s="108">
        <f t="shared" si="1"/>
        <v>55.5420852095601</v>
      </c>
      <c r="F22" s="135">
        <f>SUM(Област2016:КОЦ!F22)</f>
        <v>4290</v>
      </c>
      <c r="G22" s="107">
        <f t="shared" si="2"/>
        <v>20.733351698539966</v>
      </c>
      <c r="H22" s="108">
        <f t="shared" si="3"/>
        <v>11.817205189653748</v>
      </c>
      <c r="I22" s="135">
        <f t="shared" si="4"/>
        <v>7497</v>
      </c>
      <c r="J22" s="107">
        <f t="shared" si="5"/>
        <v>30.77169348979818</v>
      </c>
      <c r="K22" s="183">
        <f t="shared" si="6"/>
        <v>17.817334886042257</v>
      </c>
    </row>
    <row r="23" spans="1:11" s="7" customFormat="1" ht="15.75" customHeight="1">
      <c r="A23" s="4"/>
      <c r="B23" s="40" t="s">
        <v>51</v>
      </c>
      <c r="C23" s="168">
        <f>SUM(Област2016:КОЦ!C23)</f>
        <v>248</v>
      </c>
      <c r="D23" s="55">
        <f t="shared" si="0"/>
        <v>6.753812636165577</v>
      </c>
      <c r="E23" s="36">
        <f t="shared" si="1"/>
        <v>4.295116037409075</v>
      </c>
      <c r="F23" s="168">
        <f>SUM(Област2016:КОЦ!F23)</f>
        <v>16</v>
      </c>
      <c r="G23" s="25">
        <f t="shared" si="2"/>
        <v>0.07732718582206048</v>
      </c>
      <c r="H23" s="67">
        <f t="shared" si="3"/>
        <v>0.044073492548825165</v>
      </c>
      <c r="I23" s="171">
        <f t="shared" si="4"/>
        <v>264</v>
      </c>
      <c r="J23" s="25">
        <f t="shared" si="5"/>
        <v>1.0835970496607603</v>
      </c>
      <c r="K23" s="56">
        <f t="shared" si="6"/>
        <v>0.627421156451268</v>
      </c>
    </row>
    <row r="24" spans="1:11" s="7" customFormat="1" ht="15.75" customHeight="1">
      <c r="A24" s="4"/>
      <c r="B24" s="38" t="s">
        <v>52</v>
      </c>
      <c r="C24" s="172">
        <f>SUM(Област2016:КОЦ!C24)</f>
        <v>1643</v>
      </c>
      <c r="D24" s="64">
        <f t="shared" si="0"/>
        <v>44.74400871459695</v>
      </c>
      <c r="E24" s="37">
        <f t="shared" si="1"/>
        <v>28.455143747835123</v>
      </c>
      <c r="F24" s="172">
        <f>SUM(Област2016:КОЦ!F24)</f>
        <v>2144</v>
      </c>
      <c r="G24" s="27">
        <f t="shared" si="2"/>
        <v>10.361842900156104</v>
      </c>
      <c r="H24" s="68">
        <f t="shared" si="3"/>
        <v>5.905848001542572</v>
      </c>
      <c r="I24" s="172">
        <f t="shared" si="4"/>
        <v>3787</v>
      </c>
      <c r="J24" s="27">
        <f t="shared" si="5"/>
        <v>15.543871314641285</v>
      </c>
      <c r="K24" s="69">
        <f t="shared" si="6"/>
        <v>9.00016636167027</v>
      </c>
    </row>
    <row r="25" spans="1:11" s="7" customFormat="1" ht="17.25" customHeight="1">
      <c r="A25" s="4"/>
      <c r="B25" s="38" t="s">
        <v>85</v>
      </c>
      <c r="C25" s="172">
        <f>SUM(Област2016:КОЦ!C25)</f>
        <v>0</v>
      </c>
      <c r="D25" s="64">
        <f t="shared" si="0"/>
        <v>0</v>
      </c>
      <c r="E25" s="37">
        <f t="shared" si="1"/>
        <v>0</v>
      </c>
      <c r="F25" s="172">
        <f>SUM(Област2016:КОЦ!F25)</f>
        <v>845</v>
      </c>
      <c r="G25" s="27">
        <f t="shared" si="2"/>
        <v>4.083842001227569</v>
      </c>
      <c r="H25" s="68">
        <f t="shared" si="3"/>
        <v>2.327631325234829</v>
      </c>
      <c r="I25" s="172">
        <f t="shared" si="4"/>
        <v>845</v>
      </c>
      <c r="J25" s="27">
        <f t="shared" si="5"/>
        <v>3.468331465770236</v>
      </c>
      <c r="K25" s="69">
        <f t="shared" si="6"/>
        <v>2.008223019701975</v>
      </c>
    </row>
    <row r="26" spans="1:11" s="7" customFormat="1" ht="15" customHeight="1" thickBot="1">
      <c r="A26" s="4"/>
      <c r="B26" s="38" t="s">
        <v>86</v>
      </c>
      <c r="C26" s="173">
        <f>SUM(Област2016:КОЦ!C26)</f>
        <v>32</v>
      </c>
      <c r="D26" s="55">
        <f t="shared" si="0"/>
        <v>0.8714596949891068</v>
      </c>
      <c r="E26" s="36">
        <f t="shared" si="1"/>
        <v>0.5542085209560097</v>
      </c>
      <c r="F26" s="169">
        <f>SUM(Област2016:КОЦ!F26)</f>
        <v>85</v>
      </c>
      <c r="G26" s="25">
        <f t="shared" si="2"/>
        <v>0.4108006746796963</v>
      </c>
      <c r="H26" s="59">
        <f t="shared" si="3"/>
        <v>0.23414042916563368</v>
      </c>
      <c r="I26" s="171">
        <f t="shared" si="4"/>
        <v>117</v>
      </c>
      <c r="J26" s="25">
        <f t="shared" si="5"/>
        <v>0.48023051064510963</v>
      </c>
      <c r="K26" s="56">
        <f t="shared" si="6"/>
        <v>0.2780616488818119</v>
      </c>
    </row>
    <row r="27" spans="1:11" s="6" customFormat="1" ht="15" customHeight="1" thickBot="1">
      <c r="A27" s="99" t="s">
        <v>18</v>
      </c>
      <c r="B27" s="92" t="s">
        <v>53</v>
      </c>
      <c r="C27" s="135">
        <f>SUM(Област2016:КОЦ!C27)</f>
        <v>244</v>
      </c>
      <c r="D27" s="94">
        <f t="shared" si="0"/>
        <v>6.644880174291939</v>
      </c>
      <c r="E27" s="95">
        <f t="shared" si="1"/>
        <v>4.225839972289574</v>
      </c>
      <c r="F27" s="135">
        <f>SUM(Област2016:КОЦ!F27)</f>
        <v>3432</v>
      </c>
      <c r="G27" s="94">
        <f t="shared" si="2"/>
        <v>16.586681358831974</v>
      </c>
      <c r="H27" s="108">
        <f t="shared" si="3"/>
        <v>9.453764151722998</v>
      </c>
      <c r="I27" s="145">
        <f t="shared" si="4"/>
        <v>3676</v>
      </c>
      <c r="J27" s="94">
        <f t="shared" si="5"/>
        <v>15.088268009670283</v>
      </c>
      <c r="K27" s="113">
        <f t="shared" si="6"/>
        <v>8.736364284525989</v>
      </c>
    </row>
    <row r="28" spans="1:11" s="7" customFormat="1" ht="13.5" customHeight="1">
      <c r="A28" s="4"/>
      <c r="B28" s="40" t="s">
        <v>54</v>
      </c>
      <c r="C28" s="168">
        <f>SUM(Област2016:КОЦ!C28)</f>
        <v>0</v>
      </c>
      <c r="D28" s="55">
        <f t="shared" si="0"/>
        <v>0</v>
      </c>
      <c r="E28" s="58">
        <f t="shared" si="1"/>
        <v>0</v>
      </c>
      <c r="F28" s="168">
        <f>SUM(Област2016:КОЦ!F28)</f>
        <v>236</v>
      </c>
      <c r="G28" s="55">
        <f t="shared" si="2"/>
        <v>1.140575990875392</v>
      </c>
      <c r="H28" s="36">
        <f t="shared" si="3"/>
        <v>0.6500840150951712</v>
      </c>
      <c r="I28" s="138">
        <f t="shared" si="4"/>
        <v>236</v>
      </c>
      <c r="J28" s="55">
        <f t="shared" si="5"/>
        <v>0.9686700898482554</v>
      </c>
      <c r="K28" s="60">
        <f t="shared" si="6"/>
        <v>0.5608764883428001</v>
      </c>
    </row>
    <row r="29" spans="1:11" s="7" customFormat="1" ht="13.5" customHeight="1">
      <c r="A29" s="4"/>
      <c r="B29" s="38" t="s">
        <v>55</v>
      </c>
      <c r="C29" s="172">
        <f>SUM(Област2016:КОЦ!C29)</f>
        <v>92</v>
      </c>
      <c r="D29" s="64">
        <f t="shared" si="0"/>
        <v>2.505446623093682</v>
      </c>
      <c r="E29" s="65">
        <f t="shared" si="1"/>
        <v>1.5933494977485279</v>
      </c>
      <c r="F29" s="171">
        <f>SUM(Област2016:КОЦ!F29)</f>
        <v>60</v>
      </c>
      <c r="G29" s="64">
        <f t="shared" si="2"/>
        <v>0.2899769468327268</v>
      </c>
      <c r="H29" s="37">
        <f t="shared" si="3"/>
        <v>0.16527559705809436</v>
      </c>
      <c r="I29" s="132">
        <f t="shared" si="4"/>
        <v>152</v>
      </c>
      <c r="J29" s="64">
        <f t="shared" si="5"/>
        <v>0.6238892104107407</v>
      </c>
      <c r="K29" s="66">
        <f t="shared" si="6"/>
        <v>0.36124248401739667</v>
      </c>
    </row>
    <row r="30" spans="1:11" s="7" customFormat="1" ht="16.5" customHeight="1">
      <c r="A30" s="4"/>
      <c r="B30" s="42" t="s">
        <v>56</v>
      </c>
      <c r="C30" s="172">
        <f>SUM(Област2016:КОЦ!C30)</f>
        <v>26</v>
      </c>
      <c r="D30" s="70">
        <f t="shared" si="0"/>
        <v>0.7080610021786492</v>
      </c>
      <c r="E30" s="71">
        <f t="shared" si="1"/>
        <v>0.4502944232767579</v>
      </c>
      <c r="F30" s="172">
        <f>SUM(Област2016:КОЦ!F30)</f>
        <v>378</v>
      </c>
      <c r="G30" s="70">
        <f t="shared" si="2"/>
        <v>1.8268547650461788</v>
      </c>
      <c r="H30" s="72">
        <f t="shared" si="3"/>
        <v>1.0412362614659945</v>
      </c>
      <c r="I30" s="139">
        <f t="shared" si="4"/>
        <v>404</v>
      </c>
      <c r="J30" s="70">
        <f t="shared" si="5"/>
        <v>1.6582318487232846</v>
      </c>
      <c r="K30" s="73">
        <f t="shared" si="6"/>
        <v>0.9601444969936069</v>
      </c>
    </row>
    <row r="31" spans="1:11" s="7" customFormat="1" ht="15.75" customHeight="1" thickBot="1">
      <c r="A31" s="16"/>
      <c r="B31" s="45" t="s">
        <v>57</v>
      </c>
      <c r="C31" s="173">
        <f>SUM(Област2016:КОЦ!C31)</f>
        <v>1</v>
      </c>
      <c r="D31" s="74">
        <f t="shared" si="0"/>
        <v>0.027233115468409588</v>
      </c>
      <c r="E31" s="75">
        <f t="shared" si="1"/>
        <v>0.017319016279875303</v>
      </c>
      <c r="F31" s="169">
        <f>SUM(Област2016:КОЦ!F31)</f>
        <v>447</v>
      </c>
      <c r="G31" s="74">
        <f t="shared" si="2"/>
        <v>2.1603282539038147</v>
      </c>
      <c r="H31" s="76">
        <f t="shared" si="3"/>
        <v>1.231303198082803</v>
      </c>
      <c r="I31" s="136">
        <f t="shared" si="4"/>
        <v>448</v>
      </c>
      <c r="J31" s="74">
        <f t="shared" si="5"/>
        <v>1.838831357000078</v>
      </c>
      <c r="K31" s="77">
        <f t="shared" si="6"/>
        <v>1.0647146897354849</v>
      </c>
    </row>
    <row r="32" spans="1:11" s="6" customFormat="1" ht="16.5" customHeight="1" thickBot="1">
      <c r="A32" s="99" t="s">
        <v>75</v>
      </c>
      <c r="B32" s="92" t="s">
        <v>61</v>
      </c>
      <c r="C32" s="135">
        <f>SUM(Област2016:КОЦ!C32)</f>
        <v>108</v>
      </c>
      <c r="D32" s="107">
        <f t="shared" si="0"/>
        <v>2.9411764705882355</v>
      </c>
      <c r="E32" s="183">
        <f t="shared" si="1"/>
        <v>1.8704537582265328</v>
      </c>
      <c r="F32" s="135">
        <f>SUM(Област2016:КОЦ!F32)</f>
        <v>1662</v>
      </c>
      <c r="G32" s="107">
        <f t="shared" si="2"/>
        <v>8.032361427266533</v>
      </c>
      <c r="H32" s="201">
        <f t="shared" si="3"/>
        <v>4.578134038509214</v>
      </c>
      <c r="I32" s="188">
        <f t="shared" si="4"/>
        <v>1770</v>
      </c>
      <c r="J32" s="107">
        <f t="shared" si="5"/>
        <v>7.265025673861915</v>
      </c>
      <c r="K32" s="183">
        <f t="shared" si="6"/>
        <v>4.206573662571</v>
      </c>
    </row>
    <row r="33" spans="1:11" s="7" customFormat="1" ht="27.75" customHeight="1" thickBot="1">
      <c r="A33" s="99" t="s">
        <v>76</v>
      </c>
      <c r="B33" s="92" t="s">
        <v>62</v>
      </c>
      <c r="C33" s="135">
        <f>SUM(Област2016:КОЦ!C33)</f>
        <v>21</v>
      </c>
      <c r="D33" s="191">
        <f t="shared" si="0"/>
        <v>0.5718954248366013</v>
      </c>
      <c r="E33" s="192">
        <f t="shared" si="1"/>
        <v>0.36369934187738134</v>
      </c>
      <c r="F33" s="135">
        <f>SUM(Област2016:КОЦ!F33)</f>
        <v>1328</v>
      </c>
      <c r="G33" s="191">
        <f t="shared" si="2"/>
        <v>6.41815642323102</v>
      </c>
      <c r="H33" s="108">
        <f t="shared" si="3"/>
        <v>3.6580998815524888</v>
      </c>
      <c r="I33" s="185">
        <f t="shared" si="4"/>
        <v>1349</v>
      </c>
      <c r="J33" s="191">
        <f t="shared" si="5"/>
        <v>5.537016742395324</v>
      </c>
      <c r="K33" s="193">
        <f t="shared" si="6"/>
        <v>3.2060270456543956</v>
      </c>
    </row>
    <row r="34" spans="1:11" s="7" customFormat="1" ht="15.75" customHeight="1" thickBot="1">
      <c r="A34" s="99" t="s">
        <v>19</v>
      </c>
      <c r="B34" s="92" t="s">
        <v>58</v>
      </c>
      <c r="C34" s="135">
        <f>SUM(Област2016:КОЦ!C34)</f>
        <v>251</v>
      </c>
      <c r="D34" s="191">
        <f t="shared" si="0"/>
        <v>6.835511982570806</v>
      </c>
      <c r="E34" s="192">
        <f t="shared" si="1"/>
        <v>4.3470730862487015</v>
      </c>
      <c r="F34" s="135">
        <f>SUM(Област2016:КОЦ!F34)</f>
        <v>2203</v>
      </c>
      <c r="G34" s="191">
        <f t="shared" si="2"/>
        <v>10.646986897874953</v>
      </c>
      <c r="H34" s="108">
        <f t="shared" si="3"/>
        <v>6.068369005316365</v>
      </c>
      <c r="I34" s="185">
        <f t="shared" si="4"/>
        <v>2454</v>
      </c>
      <c r="J34" s="191">
        <f t="shared" si="5"/>
        <v>10.072527120710248</v>
      </c>
      <c r="K34" s="193">
        <f t="shared" si="6"/>
        <v>5.832164840649286</v>
      </c>
    </row>
    <row r="35" spans="1:11" s="7" customFormat="1" ht="13.5" customHeight="1" thickBot="1">
      <c r="A35" s="4"/>
      <c r="B35" s="40" t="s">
        <v>59</v>
      </c>
      <c r="C35" s="168">
        <f>SUM(Област2016:КОЦ!C35)</f>
        <v>156</v>
      </c>
      <c r="D35" s="55">
        <f t="shared" si="0"/>
        <v>4.248366013071895</v>
      </c>
      <c r="E35" s="58">
        <f t="shared" si="1"/>
        <v>2.7017665396605475</v>
      </c>
      <c r="F35" s="170">
        <f>SUM(Област2016:КОЦ!F35)</f>
        <v>1412</v>
      </c>
      <c r="G35" s="55">
        <f t="shared" si="2"/>
        <v>6.824124148796837</v>
      </c>
      <c r="H35" s="36">
        <f t="shared" si="3"/>
        <v>3.889485717433821</v>
      </c>
      <c r="I35" s="171">
        <f t="shared" si="4"/>
        <v>1568</v>
      </c>
      <c r="J35" s="55">
        <f t="shared" si="5"/>
        <v>6.435909749500273</v>
      </c>
      <c r="K35" s="60">
        <f t="shared" si="6"/>
        <v>3.7265014140741974</v>
      </c>
    </row>
    <row r="36" spans="1:11" s="6" customFormat="1" ht="15" customHeight="1" thickBot="1">
      <c r="A36" s="4"/>
      <c r="B36" s="43" t="s">
        <v>31</v>
      </c>
      <c r="C36" s="172">
        <f>SUM(Област2016:КОЦ!C36)</f>
        <v>147</v>
      </c>
      <c r="D36" s="64">
        <f t="shared" si="0"/>
        <v>4.003267973856209</v>
      </c>
      <c r="E36" s="65">
        <f t="shared" si="1"/>
        <v>2.5458953931416697</v>
      </c>
      <c r="F36" s="170">
        <f>SUM(Област2016:КОЦ!F36)</f>
        <v>740</v>
      </c>
      <c r="G36" s="64">
        <f t="shared" si="2"/>
        <v>3.5763823442702973</v>
      </c>
      <c r="H36" s="37">
        <f t="shared" si="3"/>
        <v>2.038399030383164</v>
      </c>
      <c r="I36" s="172">
        <f t="shared" si="4"/>
        <v>887</v>
      </c>
      <c r="J36" s="27">
        <f t="shared" si="5"/>
        <v>3.6407219054889937</v>
      </c>
      <c r="K36" s="69">
        <f t="shared" si="6"/>
        <v>2.1080400218646766</v>
      </c>
    </row>
    <row r="37" spans="1:11" s="7" customFormat="1" ht="15.75" customHeight="1" thickBot="1">
      <c r="A37" s="16"/>
      <c r="B37" s="38" t="s">
        <v>84</v>
      </c>
      <c r="C37" s="173">
        <f>SUM(Област2016:КОЦ!C37)</f>
        <v>0</v>
      </c>
      <c r="D37" s="78">
        <f aca="true" t="shared" si="7" ref="D37:D58">C37*1000/$D$2</f>
        <v>0</v>
      </c>
      <c r="E37" s="79">
        <f aca="true" t="shared" si="8" ref="E37:E57">C37*100/C$58</f>
        <v>0</v>
      </c>
      <c r="F37" s="170">
        <f>SUM(Област2016:КОЦ!F37)</f>
        <v>217</v>
      </c>
      <c r="G37" s="78">
        <f aca="true" t="shared" si="9" ref="G37:G58">F37*1000/$G$2</f>
        <v>1.0487499577116952</v>
      </c>
      <c r="H37" s="80">
        <f aca="true" t="shared" si="10" ref="H37:H57">F37*100/F$58</f>
        <v>0.5977467426934413</v>
      </c>
      <c r="I37" s="174">
        <f aca="true" t="shared" si="11" ref="I37:I57">SUM(C37,F37)</f>
        <v>217</v>
      </c>
      <c r="J37" s="78">
        <f aca="true" t="shared" si="12" ref="J37:J58">I37*1000/$J$2</f>
        <v>0.8906839385469127</v>
      </c>
      <c r="K37" s="81">
        <f aca="true" t="shared" si="13" ref="K37:K57">I37*100/I$58</f>
        <v>0.5157211778406255</v>
      </c>
    </row>
    <row r="38" spans="1:11" s="7" customFormat="1" ht="15.75" customHeight="1" thickBot="1">
      <c r="A38" s="99" t="s">
        <v>20</v>
      </c>
      <c r="B38" s="92" t="s">
        <v>32</v>
      </c>
      <c r="C38" s="135">
        <f>SUM(Област2016:КОЦ!C38)</f>
        <v>128</v>
      </c>
      <c r="D38" s="191">
        <f t="shared" si="7"/>
        <v>3.485838779956427</v>
      </c>
      <c r="E38" s="192">
        <f t="shared" si="8"/>
        <v>2.216834083824039</v>
      </c>
      <c r="F38" s="137">
        <f>SUM(Област2016:КОЦ!F38)</f>
        <v>2693</v>
      </c>
      <c r="G38" s="191">
        <f t="shared" si="9"/>
        <v>13.015131963675554</v>
      </c>
      <c r="H38" s="108">
        <f t="shared" si="10"/>
        <v>7.418119714624136</v>
      </c>
      <c r="I38" s="185">
        <f t="shared" si="11"/>
        <v>2821</v>
      </c>
      <c r="J38" s="191">
        <f t="shared" si="12"/>
        <v>11.578891201109865</v>
      </c>
      <c r="K38" s="193">
        <f t="shared" si="13"/>
        <v>6.704375311928132</v>
      </c>
    </row>
    <row r="39" spans="1:11" s="7" customFormat="1" ht="14.25" customHeight="1">
      <c r="A39" s="4"/>
      <c r="B39" s="40" t="s">
        <v>60</v>
      </c>
      <c r="C39" s="168">
        <f>SUM(Област2016:КОЦ!C39)</f>
        <v>24</v>
      </c>
      <c r="D39" s="55">
        <f t="shared" si="7"/>
        <v>0.6535947712418301</v>
      </c>
      <c r="E39" s="58">
        <f t="shared" si="8"/>
        <v>0.4156563907170073</v>
      </c>
      <c r="F39" s="168">
        <f>SUM(Област2016:КОЦ!F39)</f>
        <v>573</v>
      </c>
      <c r="G39" s="55">
        <f t="shared" si="9"/>
        <v>2.769279842252541</v>
      </c>
      <c r="H39" s="36">
        <f t="shared" si="10"/>
        <v>1.5783819519048012</v>
      </c>
      <c r="I39" s="171">
        <f t="shared" si="11"/>
        <v>597</v>
      </c>
      <c r="J39" s="55">
        <f t="shared" si="12"/>
        <v>2.4504069645737645</v>
      </c>
      <c r="K39" s="60">
        <f t="shared" si="13"/>
        <v>1.418827387884117</v>
      </c>
    </row>
    <row r="40" spans="1:11" s="7" customFormat="1" ht="15" customHeight="1">
      <c r="A40" s="4"/>
      <c r="B40" s="38" t="s">
        <v>34</v>
      </c>
      <c r="C40" s="172">
        <f>SUM(Област2016:КОЦ!C40)</f>
        <v>3</v>
      </c>
      <c r="D40" s="64">
        <f t="shared" si="7"/>
        <v>0.08169934640522876</v>
      </c>
      <c r="E40" s="65">
        <f t="shared" si="8"/>
        <v>0.05195704883962591</v>
      </c>
      <c r="F40" s="171">
        <f>SUM(Област2016:КОЦ!F40)</f>
        <v>183</v>
      </c>
      <c r="G40" s="64">
        <f t="shared" si="9"/>
        <v>0.8844296878398167</v>
      </c>
      <c r="H40" s="37">
        <f t="shared" si="10"/>
        <v>0.5040905710271878</v>
      </c>
      <c r="I40" s="172">
        <f t="shared" si="11"/>
        <v>186</v>
      </c>
      <c r="J40" s="64">
        <f t="shared" si="12"/>
        <v>0.7634433758973538</v>
      </c>
      <c r="K40" s="66">
        <f t="shared" si="13"/>
        <v>0.4420467238633933</v>
      </c>
    </row>
    <row r="41" spans="1:11" s="6" customFormat="1" ht="19.5" customHeight="1">
      <c r="A41" s="4"/>
      <c r="B41" s="38" t="s">
        <v>25</v>
      </c>
      <c r="C41" s="172">
        <f>SUM(Област2016:КОЦ!C41)</f>
        <v>0</v>
      </c>
      <c r="D41" s="64">
        <f t="shared" si="7"/>
        <v>0</v>
      </c>
      <c r="E41" s="65">
        <f t="shared" si="8"/>
        <v>0</v>
      </c>
      <c r="F41" s="171">
        <f>SUM(Област2016:КОЦ!F41)</f>
        <v>15</v>
      </c>
      <c r="G41" s="64">
        <f t="shared" si="9"/>
        <v>0.0724942367081817</v>
      </c>
      <c r="H41" s="37">
        <f t="shared" si="10"/>
        <v>0.04131889926452359</v>
      </c>
      <c r="I41" s="172">
        <f t="shared" si="11"/>
        <v>15</v>
      </c>
      <c r="J41" s="64">
        <f t="shared" si="12"/>
        <v>0.06156801418527047</v>
      </c>
      <c r="K41" s="66">
        <f t="shared" si="13"/>
        <v>0.03564892934382204</v>
      </c>
    </row>
    <row r="42" spans="1:11" s="6" customFormat="1" ht="16.5" customHeight="1" thickBot="1">
      <c r="A42" s="5"/>
      <c r="B42" s="38" t="s">
        <v>35</v>
      </c>
      <c r="C42" s="173">
        <f>SUM(Област2016:КОЦ!C42)</f>
        <v>38</v>
      </c>
      <c r="D42" s="61">
        <f t="shared" si="7"/>
        <v>1.0348583877995643</v>
      </c>
      <c r="E42" s="62">
        <f t="shared" si="8"/>
        <v>0.6581226186352616</v>
      </c>
      <c r="F42" s="169">
        <f>SUM(Област2016:КОЦ!F42)</f>
        <v>826</v>
      </c>
      <c r="G42" s="61">
        <f t="shared" si="9"/>
        <v>3.992015968063872</v>
      </c>
      <c r="H42" s="34">
        <f t="shared" si="10"/>
        <v>2.2752940528330994</v>
      </c>
      <c r="I42" s="169">
        <f t="shared" si="11"/>
        <v>864</v>
      </c>
      <c r="J42" s="61">
        <f t="shared" si="12"/>
        <v>3.546317617071579</v>
      </c>
      <c r="K42" s="63">
        <f t="shared" si="13"/>
        <v>2.0533783302041497</v>
      </c>
    </row>
    <row r="43" spans="1:11" s="6" customFormat="1" ht="22.5" customHeight="1" thickBot="1">
      <c r="A43" s="99" t="s">
        <v>21</v>
      </c>
      <c r="B43" s="92" t="s">
        <v>64</v>
      </c>
      <c r="C43" s="135">
        <f>SUM(Област2016:КОЦ!C43)</f>
        <v>310</v>
      </c>
      <c r="D43" s="107">
        <f t="shared" si="7"/>
        <v>8.442265795206971</v>
      </c>
      <c r="E43" s="108">
        <f t="shared" si="8"/>
        <v>5.368895046761344</v>
      </c>
      <c r="F43" s="135">
        <f>SUM(Област2016:КОЦ!F43)</f>
        <v>0</v>
      </c>
      <c r="G43" s="107">
        <f t="shared" si="9"/>
        <v>0</v>
      </c>
      <c r="H43" s="108">
        <f t="shared" si="10"/>
        <v>0</v>
      </c>
      <c r="I43" s="135">
        <f t="shared" si="11"/>
        <v>310</v>
      </c>
      <c r="J43" s="107">
        <f t="shared" si="12"/>
        <v>1.2724056264955896</v>
      </c>
      <c r="K43" s="183">
        <f t="shared" si="13"/>
        <v>0.7367445397723221</v>
      </c>
    </row>
    <row r="44" spans="1:11" s="6" customFormat="1" ht="27" customHeight="1">
      <c r="A44" s="9"/>
      <c r="B44" s="128" t="s">
        <v>81</v>
      </c>
      <c r="C44" s="168">
        <f>SUM(Област2016:КОЦ!C44)</f>
        <v>10</v>
      </c>
      <c r="D44" s="55">
        <f t="shared" si="7"/>
        <v>0.27233115468409586</v>
      </c>
      <c r="E44" s="36">
        <f t="shared" si="8"/>
        <v>0.17319016279875304</v>
      </c>
      <c r="F44" s="134">
        <f>SUM(Област2016:КОЦ!F44)</f>
        <v>0</v>
      </c>
      <c r="G44" s="55">
        <f t="shared" si="9"/>
        <v>0</v>
      </c>
      <c r="H44" s="36">
        <f t="shared" si="10"/>
        <v>0</v>
      </c>
      <c r="I44" s="171">
        <f t="shared" si="11"/>
        <v>10</v>
      </c>
      <c r="J44" s="55">
        <f t="shared" si="12"/>
        <v>0.041045342790180316</v>
      </c>
      <c r="K44" s="60">
        <f t="shared" si="13"/>
        <v>0.023765952895881362</v>
      </c>
    </row>
    <row r="45" spans="1:11" s="7" customFormat="1" ht="15" customHeight="1" thickBot="1">
      <c r="A45" s="4"/>
      <c r="B45" s="43" t="s">
        <v>80</v>
      </c>
      <c r="C45" s="169">
        <f>SUM(Област2016:КОЦ!C45)</f>
        <v>22</v>
      </c>
      <c r="D45" s="78">
        <f t="shared" si="7"/>
        <v>0.599128540305011</v>
      </c>
      <c r="E45" s="80">
        <f t="shared" si="8"/>
        <v>0.38101835815725665</v>
      </c>
      <c r="F45" s="137">
        <f>SUM(Област2016:КОЦ!F45)</f>
        <v>0</v>
      </c>
      <c r="G45" s="78">
        <f t="shared" si="9"/>
        <v>0</v>
      </c>
      <c r="H45" s="80">
        <f t="shared" si="10"/>
        <v>0</v>
      </c>
      <c r="I45" s="174">
        <f t="shared" si="11"/>
        <v>22</v>
      </c>
      <c r="J45" s="78">
        <f t="shared" si="12"/>
        <v>0.09029975413839669</v>
      </c>
      <c r="K45" s="81">
        <f t="shared" si="13"/>
        <v>0.05228509637093899</v>
      </c>
    </row>
    <row r="46" spans="1:11" s="7" customFormat="1" ht="19.5" customHeight="1" thickBot="1">
      <c r="A46" s="99" t="s">
        <v>77</v>
      </c>
      <c r="B46" s="92" t="s">
        <v>63</v>
      </c>
      <c r="C46" s="135">
        <f>SUM(Област2016:КОЦ!C46)</f>
        <v>11</v>
      </c>
      <c r="D46" s="191">
        <f t="shared" si="7"/>
        <v>0.2995642701525055</v>
      </c>
      <c r="E46" s="192">
        <f t="shared" si="8"/>
        <v>0.19050917907862833</v>
      </c>
      <c r="F46" s="135">
        <f>SUM(Област2016:КОЦ!F46)</f>
        <v>2</v>
      </c>
      <c r="G46" s="191">
        <f t="shared" si="9"/>
        <v>0.00966589822775756</v>
      </c>
      <c r="H46" s="108">
        <f t="shared" si="10"/>
        <v>0.005509186568603146</v>
      </c>
      <c r="I46" s="185">
        <f t="shared" si="11"/>
        <v>13</v>
      </c>
      <c r="J46" s="191">
        <f t="shared" si="12"/>
        <v>0.05335894562723441</v>
      </c>
      <c r="K46" s="193">
        <f t="shared" si="13"/>
        <v>0.03089573876464577</v>
      </c>
    </row>
    <row r="47" spans="1:11" s="6" customFormat="1" ht="20.25" customHeight="1" thickBot="1">
      <c r="A47" s="99" t="s">
        <v>29</v>
      </c>
      <c r="B47" s="92" t="s">
        <v>65</v>
      </c>
      <c r="C47" s="135">
        <f>SUM(Област2016:КОЦ!C47)</f>
        <v>235</v>
      </c>
      <c r="D47" s="107">
        <f t="shared" si="7"/>
        <v>6.3997821350762525</v>
      </c>
      <c r="E47" s="108">
        <f t="shared" si="8"/>
        <v>4.0699688257706965</v>
      </c>
      <c r="F47" s="135">
        <f>SUM(Област2016:КОЦ!F47)</f>
        <v>568</v>
      </c>
      <c r="G47" s="107">
        <f t="shared" si="9"/>
        <v>2.745115096683147</v>
      </c>
      <c r="H47" s="108">
        <f t="shared" si="10"/>
        <v>1.5646089854832934</v>
      </c>
      <c r="I47" s="135">
        <f t="shared" si="11"/>
        <v>803</v>
      </c>
      <c r="J47" s="107">
        <f t="shared" si="12"/>
        <v>3.295941026051479</v>
      </c>
      <c r="K47" s="183">
        <f t="shared" si="13"/>
        <v>1.9084060175392732</v>
      </c>
    </row>
    <row r="48" spans="1:11" s="6" customFormat="1" ht="16.5" customHeight="1" thickBot="1">
      <c r="A48" s="99" t="s">
        <v>30</v>
      </c>
      <c r="B48" s="92" t="s">
        <v>66</v>
      </c>
      <c r="C48" s="135">
        <f>SUM(Област2016:КОЦ!C48)</f>
        <v>605</v>
      </c>
      <c r="D48" s="107">
        <f t="shared" si="7"/>
        <v>16.4760348583878</v>
      </c>
      <c r="E48" s="108">
        <f t="shared" si="8"/>
        <v>10.478004849324558</v>
      </c>
      <c r="F48" s="135">
        <f>SUM(Област2016:КОЦ!F48)</f>
        <v>1645</v>
      </c>
      <c r="G48" s="107">
        <f t="shared" si="9"/>
        <v>7.950201292330593</v>
      </c>
      <c r="H48" s="108">
        <f t="shared" si="10"/>
        <v>4.531305952676087</v>
      </c>
      <c r="I48" s="135">
        <f t="shared" si="11"/>
        <v>2250</v>
      </c>
      <c r="J48" s="107">
        <f t="shared" si="12"/>
        <v>9.23520212779057</v>
      </c>
      <c r="K48" s="183">
        <f t="shared" si="13"/>
        <v>5.347339401573306</v>
      </c>
    </row>
    <row r="49" spans="1:11" s="7" customFormat="1" ht="19.5" customHeight="1">
      <c r="A49" s="4"/>
      <c r="B49" s="40" t="s">
        <v>67</v>
      </c>
      <c r="C49" s="168">
        <f>SUM(Област2016:КОЦ!C49)</f>
        <v>107</v>
      </c>
      <c r="D49" s="55">
        <f t="shared" si="7"/>
        <v>2.9139433551198257</v>
      </c>
      <c r="E49" s="58">
        <f t="shared" si="8"/>
        <v>1.8531347419466575</v>
      </c>
      <c r="F49" s="168">
        <f>SUM(Област2016:КОЦ!F49)</f>
        <v>426</v>
      </c>
      <c r="G49" s="55">
        <f t="shared" si="9"/>
        <v>2.0588363225123603</v>
      </c>
      <c r="H49" s="36">
        <f t="shared" si="10"/>
        <v>1.17345673911247</v>
      </c>
      <c r="I49" s="171">
        <f t="shared" si="11"/>
        <v>533</v>
      </c>
      <c r="J49" s="55">
        <f t="shared" si="12"/>
        <v>2.1877167707166105</v>
      </c>
      <c r="K49" s="60">
        <f t="shared" si="13"/>
        <v>1.2667252893504766</v>
      </c>
    </row>
    <row r="50" spans="1:11" s="7" customFormat="1" ht="12.75" customHeight="1">
      <c r="A50" s="4"/>
      <c r="B50" s="209" t="s">
        <v>71</v>
      </c>
      <c r="C50" s="204">
        <f>SUM(Област2016:КОЦ!C50)</f>
        <v>3</v>
      </c>
      <c r="D50" s="205">
        <f t="shared" si="7"/>
        <v>0.08169934640522876</v>
      </c>
      <c r="E50" s="206">
        <f t="shared" si="8"/>
        <v>0.05195704883962591</v>
      </c>
      <c r="F50" s="210">
        <f>SUM(Област2016:КОЦ!F50)</f>
        <v>12</v>
      </c>
      <c r="G50" s="205">
        <f t="shared" si="9"/>
        <v>0.05799538936654536</v>
      </c>
      <c r="H50" s="207">
        <f t="shared" si="10"/>
        <v>0.03305511941161887</v>
      </c>
      <c r="I50" s="204">
        <f t="shared" si="11"/>
        <v>15</v>
      </c>
      <c r="J50" s="205">
        <f t="shared" si="12"/>
        <v>0.06156801418527047</v>
      </c>
      <c r="K50" s="208">
        <f t="shared" si="13"/>
        <v>0.03564892934382204</v>
      </c>
    </row>
    <row r="51" spans="1:11" s="6" customFormat="1" ht="21.75" customHeight="1">
      <c r="A51" s="4"/>
      <c r="B51" s="38" t="s">
        <v>68</v>
      </c>
      <c r="C51" s="172">
        <f>SUM(Област2016:КОЦ!C51)</f>
        <v>10</v>
      </c>
      <c r="D51" s="64">
        <f t="shared" si="7"/>
        <v>0.27233115468409586</v>
      </c>
      <c r="E51" s="65">
        <f t="shared" si="8"/>
        <v>0.17319016279875304</v>
      </c>
      <c r="F51" s="172">
        <f>SUM(Област2016:КОЦ!F51)</f>
        <v>113</v>
      </c>
      <c r="G51" s="64">
        <f t="shared" si="9"/>
        <v>0.5461232498683022</v>
      </c>
      <c r="H51" s="37">
        <f t="shared" si="10"/>
        <v>0.31126904112607773</v>
      </c>
      <c r="I51" s="172">
        <f t="shared" si="11"/>
        <v>123</v>
      </c>
      <c r="J51" s="64">
        <f t="shared" si="12"/>
        <v>0.5048577163192178</v>
      </c>
      <c r="K51" s="66">
        <f t="shared" si="13"/>
        <v>0.29232122061934074</v>
      </c>
    </row>
    <row r="52" spans="1:11" ht="12.75" customHeight="1">
      <c r="A52" s="4"/>
      <c r="B52" s="209" t="s">
        <v>72</v>
      </c>
      <c r="C52" s="204">
        <f>SUM(Област2016:КОЦ!C52)</f>
        <v>0</v>
      </c>
      <c r="D52" s="205">
        <f t="shared" si="7"/>
        <v>0</v>
      </c>
      <c r="E52" s="206">
        <f t="shared" si="8"/>
        <v>0</v>
      </c>
      <c r="F52" s="204">
        <f>SUM(Област2016:КОЦ!F52)</f>
        <v>43</v>
      </c>
      <c r="G52" s="205">
        <f t="shared" si="9"/>
        <v>0.20781681189678755</v>
      </c>
      <c r="H52" s="207">
        <f t="shared" si="10"/>
        <v>0.11844751122496763</v>
      </c>
      <c r="I52" s="204">
        <f t="shared" si="11"/>
        <v>43</v>
      </c>
      <c r="J52" s="205">
        <f t="shared" si="12"/>
        <v>0.17649497399777533</v>
      </c>
      <c r="K52" s="208">
        <f t="shared" si="13"/>
        <v>0.10219359745228986</v>
      </c>
    </row>
    <row r="53" spans="1:11" ht="18" customHeight="1">
      <c r="A53" s="4"/>
      <c r="B53" s="38" t="s">
        <v>69</v>
      </c>
      <c r="C53" s="172">
        <f>SUM(Област2016:КОЦ!C53)</f>
        <v>105</v>
      </c>
      <c r="D53" s="64">
        <f t="shared" si="7"/>
        <v>2.8594771241830066</v>
      </c>
      <c r="E53" s="65">
        <f t="shared" si="8"/>
        <v>1.8184967093869069</v>
      </c>
      <c r="F53" s="172">
        <f>SUM(Област2016:КОЦ!F53)</f>
        <v>411</v>
      </c>
      <c r="G53" s="64">
        <f t="shared" si="9"/>
        <v>1.9863420858041785</v>
      </c>
      <c r="H53" s="37">
        <f t="shared" si="10"/>
        <v>1.1321378398479465</v>
      </c>
      <c r="I53" s="172">
        <f t="shared" si="11"/>
        <v>516</v>
      </c>
      <c r="J53" s="64">
        <f t="shared" si="12"/>
        <v>2.117939687973304</v>
      </c>
      <c r="K53" s="66">
        <f t="shared" si="13"/>
        <v>1.226323169427478</v>
      </c>
    </row>
    <row r="54" spans="1:11" ht="12.75" customHeight="1">
      <c r="A54" s="4"/>
      <c r="B54" s="209" t="s">
        <v>73</v>
      </c>
      <c r="C54" s="204">
        <f>SUM(Област2016:КОЦ!C54)</f>
        <v>92</v>
      </c>
      <c r="D54" s="205">
        <f t="shared" si="7"/>
        <v>2.505446623093682</v>
      </c>
      <c r="E54" s="206">
        <f t="shared" si="8"/>
        <v>1.5933494977485279</v>
      </c>
      <c r="F54" s="204">
        <f>SUM(Област2016:КОЦ!F54)</f>
        <v>247</v>
      </c>
      <c r="G54" s="205">
        <f t="shared" si="9"/>
        <v>1.1937384311280586</v>
      </c>
      <c r="H54" s="207">
        <f t="shared" si="10"/>
        <v>0.6803845412224885</v>
      </c>
      <c r="I54" s="204">
        <f t="shared" si="11"/>
        <v>339</v>
      </c>
      <c r="J54" s="205">
        <f t="shared" si="12"/>
        <v>1.3914371205871126</v>
      </c>
      <c r="K54" s="208">
        <f t="shared" si="13"/>
        <v>0.8056658031703782</v>
      </c>
    </row>
    <row r="55" spans="1:11" ht="18.75" customHeight="1">
      <c r="A55" s="4"/>
      <c r="B55" s="38" t="s">
        <v>70</v>
      </c>
      <c r="C55" s="172">
        <f>SUM(Област2016:КОЦ!C55)</f>
        <v>23</v>
      </c>
      <c r="D55" s="64">
        <f t="shared" si="7"/>
        <v>0.6263616557734205</v>
      </c>
      <c r="E55" s="65">
        <f t="shared" si="8"/>
        <v>0.39833737443713196</v>
      </c>
      <c r="F55" s="171">
        <f>SUM(Област2016:КОЦ!F55)</f>
        <v>461</v>
      </c>
      <c r="G55" s="64">
        <f t="shared" si="9"/>
        <v>2.2279895414981175</v>
      </c>
      <c r="H55" s="37">
        <f t="shared" si="10"/>
        <v>1.2698675040630252</v>
      </c>
      <c r="I55" s="172">
        <f t="shared" si="11"/>
        <v>484</v>
      </c>
      <c r="J55" s="64">
        <f t="shared" si="12"/>
        <v>1.9865945910447271</v>
      </c>
      <c r="K55" s="66">
        <f t="shared" si="13"/>
        <v>1.1502721201606578</v>
      </c>
    </row>
    <row r="56" spans="1:11" ht="11.25" customHeight="1">
      <c r="A56" s="4"/>
      <c r="B56" s="38" t="s">
        <v>74</v>
      </c>
      <c r="C56" s="204">
        <f>SUM(Област2016:КОЦ!C56)</f>
        <v>14</v>
      </c>
      <c r="D56" s="205">
        <f t="shared" si="7"/>
        <v>0.3812636165577342</v>
      </c>
      <c r="E56" s="206">
        <f t="shared" si="8"/>
        <v>0.24246622791825426</v>
      </c>
      <c r="F56" s="204">
        <f>SUM(Област2016:КОЦ!F56)</f>
        <v>420</v>
      </c>
      <c r="G56" s="205">
        <f t="shared" si="9"/>
        <v>2.0298386278290876</v>
      </c>
      <c r="H56" s="207">
        <f t="shared" si="10"/>
        <v>1.1569291794066605</v>
      </c>
      <c r="I56" s="204">
        <f t="shared" si="11"/>
        <v>434</v>
      </c>
      <c r="J56" s="205">
        <f t="shared" si="12"/>
        <v>1.7813678770938255</v>
      </c>
      <c r="K56" s="208">
        <f t="shared" si="13"/>
        <v>1.031442355681251</v>
      </c>
    </row>
    <row r="57" spans="1:11" ht="17.25" customHeight="1" thickBot="1">
      <c r="A57" s="4"/>
      <c r="B57" s="42" t="s">
        <v>33</v>
      </c>
      <c r="C57" s="173">
        <f>SUM(Област2016:КОЦ!C57)</f>
        <v>46</v>
      </c>
      <c r="D57" s="70">
        <f t="shared" si="7"/>
        <v>1.252723311546841</v>
      </c>
      <c r="E57" s="71">
        <f t="shared" si="8"/>
        <v>0.7966747488742639</v>
      </c>
      <c r="F57" s="173">
        <f>SUM(Област2016:КОЦ!F57)</f>
        <v>52</v>
      </c>
      <c r="G57" s="70">
        <f t="shared" si="9"/>
        <v>0.25131335392169657</v>
      </c>
      <c r="H57" s="71">
        <f t="shared" si="10"/>
        <v>0.1432388507836818</v>
      </c>
      <c r="I57" s="175">
        <f t="shared" si="11"/>
        <v>98</v>
      </c>
      <c r="J57" s="70">
        <f t="shared" si="12"/>
        <v>0.40224435934376707</v>
      </c>
      <c r="K57" s="73">
        <f t="shared" si="13"/>
        <v>0.23290633837963734</v>
      </c>
    </row>
    <row r="58" spans="1:11" ht="15.75" thickBot="1">
      <c r="A58" s="82"/>
      <c r="B58" s="144" t="s">
        <v>22</v>
      </c>
      <c r="C58" s="184">
        <f>C48+C47+C46+C43+C38+C34+C33+C32+C27+C22+C18+C17+C16+C14+C13+C11+C10+C8+C5</f>
        <v>5774</v>
      </c>
      <c r="D58" s="203">
        <f t="shared" si="7"/>
        <v>157.24400871459696</v>
      </c>
      <c r="E58" s="108"/>
      <c r="F58" s="184">
        <f>F48+F47+F46+F43+F38+F34+F33+F32+F27+F22+F18+F17+F16+F14+F13+F11+F10+F8+F5</f>
        <v>36303</v>
      </c>
      <c r="G58" s="203">
        <f t="shared" si="9"/>
        <v>175.45055168114135</v>
      </c>
      <c r="H58" s="202"/>
      <c r="I58" s="135">
        <f>SUM(C58,F58)</f>
        <v>42077</v>
      </c>
      <c r="J58" s="203">
        <f t="shared" si="12"/>
        <v>172.7064888582417</v>
      </c>
      <c r="K58" s="183"/>
    </row>
    <row r="59" ht="15.75" customHeight="1"/>
    <row r="60" ht="11.25" customHeight="1"/>
  </sheetData>
  <sheetProtection/>
  <mergeCells count="2">
    <mergeCell ref="B3:B4"/>
    <mergeCell ref="A1:K1"/>
  </mergeCells>
  <printOptions horizontalCentered="1" verticalCentered="1"/>
  <pageMargins left="0.2362204724409449" right="0.2362204724409449" top="0.52" bottom="0.4330708661417323" header="0.25" footer="0.2362204724409449"/>
  <pageSetup blackAndWhite="1" horizontalDpi="600" verticalDpi="600" orientation="landscape" paperSize="9" r:id="rId1"/>
  <headerFooter alignWithMargins="0">
    <oddFooter>&amp;L&amp;9&amp;Z&amp;10  &amp;"Tahoma,Обикновен"&amp;F   (&amp;"Tahoma,Курсив" oblast )&amp;R&amp;P -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B33" sqref="B33"/>
    </sheetView>
  </sheetViews>
  <sheetFormatPr defaultColWidth="9.00390625" defaultRowHeight="12.75"/>
  <cols>
    <col min="1" max="1" width="6.875" style="0" customWidth="1"/>
    <col min="2" max="2" width="52.25390625" style="10" customWidth="1"/>
    <col min="3" max="3" width="10.00390625" style="52" customWidth="1"/>
    <col min="4" max="4" width="11.00390625" style="52" customWidth="1"/>
    <col min="5" max="5" width="9.00390625" style="52" customWidth="1"/>
    <col min="6" max="6" width="10.375" style="52" customWidth="1"/>
    <col min="7" max="7" width="9.875" style="52" customWidth="1"/>
    <col min="8" max="8" width="8.125" style="52" customWidth="1"/>
    <col min="9" max="9" width="10.75390625" style="52" customWidth="1"/>
    <col min="10" max="10" width="10.375" style="52" customWidth="1"/>
    <col min="11" max="11" width="8.125" style="52" customWidth="1"/>
  </cols>
  <sheetData>
    <row r="1" spans="1:11" ht="18.75" customHeight="1">
      <c r="A1" s="244" t="s">
        <v>88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20.25" customHeight="1" thickBot="1">
      <c r="A2" s="21"/>
      <c r="B2" s="22"/>
      <c r="C2" s="48"/>
      <c r="D2" s="46">
        <v>12838</v>
      </c>
      <c r="E2" s="48"/>
      <c r="F2" s="48"/>
      <c r="G2" s="46">
        <v>74382</v>
      </c>
      <c r="H2" s="48"/>
      <c r="I2" s="48"/>
      <c r="J2" s="46">
        <v>87220</v>
      </c>
      <c r="K2" s="48"/>
    </row>
    <row r="3" spans="1:11" ht="18.75" customHeight="1">
      <c r="A3" s="246" t="s">
        <v>24</v>
      </c>
      <c r="B3" s="248" t="s">
        <v>5</v>
      </c>
      <c r="C3" s="50" t="s">
        <v>1</v>
      </c>
      <c r="D3" s="49"/>
      <c r="E3" s="49"/>
      <c r="F3" s="50" t="s">
        <v>2</v>
      </c>
      <c r="G3" s="49"/>
      <c r="H3" s="49"/>
      <c r="I3" s="50" t="s">
        <v>3</v>
      </c>
      <c r="J3" s="49"/>
      <c r="K3" s="51"/>
    </row>
    <row r="4" spans="1:11" ht="27.75" customHeight="1" thickBot="1">
      <c r="A4" s="247"/>
      <c r="B4" s="249"/>
      <c r="C4" s="126" t="s">
        <v>6</v>
      </c>
      <c r="D4" s="124" t="s">
        <v>7</v>
      </c>
      <c r="E4" s="125" t="s">
        <v>8</v>
      </c>
      <c r="F4" s="126" t="s">
        <v>6</v>
      </c>
      <c r="G4" s="124" t="s">
        <v>7</v>
      </c>
      <c r="H4" s="125" t="s">
        <v>8</v>
      </c>
      <c r="I4" s="126" t="s">
        <v>6</v>
      </c>
      <c r="J4" s="124" t="s">
        <v>7</v>
      </c>
      <c r="K4" s="127" t="s">
        <v>8</v>
      </c>
    </row>
    <row r="5" spans="1:11" ht="18" customHeight="1" thickBot="1">
      <c r="A5" s="105" t="s">
        <v>9</v>
      </c>
      <c r="B5" s="217" t="s">
        <v>26</v>
      </c>
      <c r="C5" s="96">
        <v>371</v>
      </c>
      <c r="D5" s="94">
        <f aca="true" t="shared" si="0" ref="D5:D58">C5*1000/$D$2</f>
        <v>28.898582333696837</v>
      </c>
      <c r="E5" s="95">
        <f aca="true" t="shared" si="1" ref="E5:E56">C5*100/C$58</f>
        <v>11.674008810572687</v>
      </c>
      <c r="F5" s="84">
        <v>378</v>
      </c>
      <c r="G5" s="94">
        <f aca="true" t="shared" si="2" ref="G5:G58">F5*1000/$G$2</f>
        <v>5.081874647092039</v>
      </c>
      <c r="H5" s="95">
        <f aca="true" t="shared" si="3" ref="H5:H56">F5*100/F$58</f>
        <v>2.5</v>
      </c>
      <c r="I5" s="145">
        <f aca="true" t="shared" si="4" ref="I5:I57">SUM(C5,F5)</f>
        <v>749</v>
      </c>
      <c r="J5" s="94">
        <f aca="true" t="shared" si="5" ref="J5:J58">I5*1000/$J$2</f>
        <v>8.587479935794542</v>
      </c>
      <c r="K5" s="97">
        <f aca="true" t="shared" si="6" ref="K5:K57">I5*100/I$58</f>
        <v>4.093343534812548</v>
      </c>
    </row>
    <row r="6" spans="1:11" s="1" customFormat="1" ht="15.75" customHeight="1">
      <c r="A6" s="4"/>
      <c r="B6" s="218" t="s">
        <v>36</v>
      </c>
      <c r="C6" s="115">
        <v>297</v>
      </c>
      <c r="D6" s="18">
        <f t="shared" si="0"/>
        <v>23.134444617541675</v>
      </c>
      <c r="E6" s="31">
        <f t="shared" si="1"/>
        <v>9.34550031466331</v>
      </c>
      <c r="F6" s="87">
        <v>227</v>
      </c>
      <c r="G6" s="18">
        <f t="shared" si="2"/>
        <v>3.051813610819822</v>
      </c>
      <c r="H6" s="31">
        <f t="shared" si="3"/>
        <v>1.5013227513227514</v>
      </c>
      <c r="I6" s="138">
        <f t="shared" si="4"/>
        <v>524</v>
      </c>
      <c r="J6" s="18">
        <f t="shared" si="5"/>
        <v>6.007796376977757</v>
      </c>
      <c r="K6" s="19">
        <f t="shared" si="6"/>
        <v>2.863700950923598</v>
      </c>
    </row>
    <row r="7" spans="1:11" s="1" customFormat="1" ht="15" customHeight="1" thickBot="1">
      <c r="A7" s="4"/>
      <c r="B7" s="219" t="s">
        <v>37</v>
      </c>
      <c r="C7" s="116"/>
      <c r="D7" s="12">
        <f t="shared" si="0"/>
        <v>0</v>
      </c>
      <c r="E7" s="32">
        <f t="shared" si="1"/>
        <v>0</v>
      </c>
      <c r="F7" s="117">
        <v>1</v>
      </c>
      <c r="G7" s="14">
        <f t="shared" si="2"/>
        <v>0.01344411282299481</v>
      </c>
      <c r="H7" s="35">
        <f t="shared" si="3"/>
        <v>0.006613756613756613</v>
      </c>
      <c r="I7" s="140">
        <f t="shared" si="4"/>
        <v>1</v>
      </c>
      <c r="J7" s="14">
        <f t="shared" si="5"/>
        <v>0.011465260261407933</v>
      </c>
      <c r="K7" s="13">
        <f t="shared" si="6"/>
        <v>0.005465078150617554</v>
      </c>
    </row>
    <row r="8" spans="1:11" ht="14.25" customHeight="1" thickBot="1">
      <c r="A8" s="105" t="s">
        <v>10</v>
      </c>
      <c r="B8" s="220" t="s">
        <v>38</v>
      </c>
      <c r="C8" s="93">
        <v>8</v>
      </c>
      <c r="D8" s="94">
        <f t="shared" si="0"/>
        <v>0.6231500233681259</v>
      </c>
      <c r="E8" s="95">
        <f t="shared" si="1"/>
        <v>0.2517306482064191</v>
      </c>
      <c r="F8" s="84">
        <v>675</v>
      </c>
      <c r="G8" s="94">
        <f t="shared" si="2"/>
        <v>9.074776155521498</v>
      </c>
      <c r="H8" s="95">
        <f t="shared" si="3"/>
        <v>4.464285714285714</v>
      </c>
      <c r="I8" s="145">
        <f t="shared" si="4"/>
        <v>683</v>
      </c>
      <c r="J8" s="94">
        <f t="shared" si="5"/>
        <v>7.8307727585416185</v>
      </c>
      <c r="K8" s="97">
        <f t="shared" si="6"/>
        <v>3.732648376871789</v>
      </c>
    </row>
    <row r="9" spans="1:11" s="1" customFormat="1" ht="15" customHeight="1" thickBot="1">
      <c r="A9" s="16"/>
      <c r="B9" s="218" t="s">
        <v>39</v>
      </c>
      <c r="C9" s="115"/>
      <c r="D9" s="18">
        <f t="shared" si="0"/>
        <v>0</v>
      </c>
      <c r="E9" s="31">
        <f t="shared" si="1"/>
        <v>0</v>
      </c>
      <c r="F9" s="117">
        <v>312</v>
      </c>
      <c r="G9" s="18">
        <f t="shared" si="2"/>
        <v>4.194563200774381</v>
      </c>
      <c r="H9" s="31">
        <f t="shared" si="3"/>
        <v>2.0634920634920637</v>
      </c>
      <c r="I9" s="138">
        <f t="shared" si="4"/>
        <v>312</v>
      </c>
      <c r="J9" s="18">
        <f t="shared" si="5"/>
        <v>3.5771612015592753</v>
      </c>
      <c r="K9" s="19">
        <f t="shared" si="6"/>
        <v>1.7051043829926769</v>
      </c>
    </row>
    <row r="10" spans="1:11" s="6" customFormat="1" ht="15.75" customHeight="1" thickBot="1">
      <c r="A10" s="105" t="s">
        <v>11</v>
      </c>
      <c r="B10" s="221" t="s">
        <v>40</v>
      </c>
      <c r="C10" s="93">
        <v>5</v>
      </c>
      <c r="D10" s="94">
        <f t="shared" si="0"/>
        <v>0.3894687646050787</v>
      </c>
      <c r="E10" s="95">
        <f t="shared" si="1"/>
        <v>0.15733165512901195</v>
      </c>
      <c r="F10" s="84">
        <v>183</v>
      </c>
      <c r="G10" s="94">
        <f t="shared" si="2"/>
        <v>2.4602726466080505</v>
      </c>
      <c r="H10" s="95">
        <f t="shared" si="3"/>
        <v>1.2103174603174602</v>
      </c>
      <c r="I10" s="145">
        <f t="shared" si="4"/>
        <v>188</v>
      </c>
      <c r="J10" s="94">
        <f t="shared" si="5"/>
        <v>2.155468929144692</v>
      </c>
      <c r="K10" s="97">
        <f t="shared" si="6"/>
        <v>1.0274346923161002</v>
      </c>
    </row>
    <row r="11" spans="1:11" s="6" customFormat="1" ht="30" customHeight="1" thickBot="1">
      <c r="A11" s="99" t="s">
        <v>12</v>
      </c>
      <c r="B11" s="221" t="s">
        <v>41</v>
      </c>
      <c r="C11" s="93">
        <v>9</v>
      </c>
      <c r="D11" s="94">
        <f t="shared" si="0"/>
        <v>0.7010437762891416</v>
      </c>
      <c r="E11" s="95">
        <f t="shared" si="1"/>
        <v>0.28319697923222154</v>
      </c>
      <c r="F11" s="84">
        <v>582</v>
      </c>
      <c r="G11" s="94">
        <f t="shared" si="2"/>
        <v>7.82447366298298</v>
      </c>
      <c r="H11" s="95">
        <f t="shared" si="3"/>
        <v>3.8492063492063493</v>
      </c>
      <c r="I11" s="145">
        <f t="shared" si="4"/>
        <v>591</v>
      </c>
      <c r="J11" s="94">
        <f t="shared" si="5"/>
        <v>6.775968814492089</v>
      </c>
      <c r="K11" s="97">
        <f t="shared" si="6"/>
        <v>3.2298611870149743</v>
      </c>
    </row>
    <row r="12" spans="1:11" s="6" customFormat="1" ht="16.5" customHeight="1" thickBot="1">
      <c r="A12" s="17"/>
      <c r="B12" s="222" t="s">
        <v>78</v>
      </c>
      <c r="C12" s="119">
        <v>9</v>
      </c>
      <c r="D12" s="29">
        <f t="shared" si="0"/>
        <v>0.7010437762891416</v>
      </c>
      <c r="E12" s="34">
        <f t="shared" si="1"/>
        <v>0.28319697923222154</v>
      </c>
      <c r="F12" s="117">
        <v>550</v>
      </c>
      <c r="G12" s="29">
        <f t="shared" si="2"/>
        <v>7.394262052647146</v>
      </c>
      <c r="H12" s="34">
        <f t="shared" si="3"/>
        <v>3.6375661375661377</v>
      </c>
      <c r="I12" s="133">
        <f t="shared" si="4"/>
        <v>559</v>
      </c>
      <c r="J12" s="29">
        <f t="shared" si="5"/>
        <v>6.409080486127035</v>
      </c>
      <c r="K12" s="30">
        <f t="shared" si="6"/>
        <v>3.0549786861952124</v>
      </c>
    </row>
    <row r="13" spans="1:11" s="6" customFormat="1" ht="16.5" customHeight="1" thickBot="1">
      <c r="A13" s="99" t="s">
        <v>13</v>
      </c>
      <c r="B13" s="220" t="s">
        <v>42</v>
      </c>
      <c r="C13" s="101"/>
      <c r="D13" s="102">
        <f t="shared" si="0"/>
        <v>0</v>
      </c>
      <c r="E13" s="103">
        <f t="shared" si="1"/>
        <v>0</v>
      </c>
      <c r="F13" s="84">
        <v>0</v>
      </c>
      <c r="G13" s="102">
        <f t="shared" si="2"/>
        <v>0</v>
      </c>
      <c r="H13" s="103">
        <f t="shared" si="3"/>
        <v>0</v>
      </c>
      <c r="I13" s="163">
        <f t="shared" si="4"/>
        <v>0</v>
      </c>
      <c r="J13" s="102">
        <f t="shared" si="5"/>
        <v>0</v>
      </c>
      <c r="K13" s="104">
        <f t="shared" si="6"/>
        <v>0</v>
      </c>
    </row>
    <row r="14" spans="1:11" s="6" customFormat="1" ht="20.25" customHeight="1" thickBot="1">
      <c r="A14" s="99" t="s">
        <v>14</v>
      </c>
      <c r="B14" s="221" t="s">
        <v>43</v>
      </c>
      <c r="C14" s="93">
        <v>6</v>
      </c>
      <c r="D14" s="94">
        <f t="shared" si="0"/>
        <v>0.4673625175260944</v>
      </c>
      <c r="E14" s="95">
        <f t="shared" si="1"/>
        <v>0.18879798615481436</v>
      </c>
      <c r="F14" s="84">
        <v>532</v>
      </c>
      <c r="G14" s="94">
        <f t="shared" si="2"/>
        <v>7.1522680218332395</v>
      </c>
      <c r="H14" s="95">
        <f t="shared" si="3"/>
        <v>3.5185185185185186</v>
      </c>
      <c r="I14" s="145">
        <f t="shared" si="4"/>
        <v>538</v>
      </c>
      <c r="J14" s="94">
        <f t="shared" si="5"/>
        <v>6.168310020637469</v>
      </c>
      <c r="K14" s="113">
        <f t="shared" si="6"/>
        <v>2.940212045032244</v>
      </c>
    </row>
    <row r="15" spans="1:11" s="1" customFormat="1" ht="13.5" customHeight="1" thickBot="1">
      <c r="A15" s="4"/>
      <c r="B15" s="223" t="s">
        <v>44</v>
      </c>
      <c r="C15" s="120"/>
      <c r="D15" s="14">
        <f t="shared" si="0"/>
        <v>0</v>
      </c>
      <c r="E15" s="35">
        <f t="shared" si="1"/>
        <v>0</v>
      </c>
      <c r="F15" s="117">
        <v>40</v>
      </c>
      <c r="G15" s="14">
        <f t="shared" si="2"/>
        <v>0.5377645129197924</v>
      </c>
      <c r="H15" s="35">
        <f t="shared" si="3"/>
        <v>0.26455026455026454</v>
      </c>
      <c r="I15" s="140">
        <f t="shared" si="4"/>
        <v>40</v>
      </c>
      <c r="J15" s="14">
        <f t="shared" si="5"/>
        <v>0.45861041045631734</v>
      </c>
      <c r="K15" s="20">
        <f t="shared" si="6"/>
        <v>0.21860312602470217</v>
      </c>
    </row>
    <row r="16" spans="1:11" s="1" customFormat="1" ht="15.75" customHeight="1" thickBot="1">
      <c r="A16" s="105" t="s">
        <v>15</v>
      </c>
      <c r="B16" s="220" t="s">
        <v>27</v>
      </c>
      <c r="C16" s="106">
        <v>6</v>
      </c>
      <c r="D16" s="107">
        <f t="shared" si="0"/>
        <v>0.4673625175260944</v>
      </c>
      <c r="E16" s="108">
        <f t="shared" si="1"/>
        <v>0.18879798615481436</v>
      </c>
      <c r="F16" s="84">
        <v>760</v>
      </c>
      <c r="G16" s="107">
        <f t="shared" si="2"/>
        <v>10.217525745476056</v>
      </c>
      <c r="H16" s="108">
        <f t="shared" si="3"/>
        <v>5.026455026455026</v>
      </c>
      <c r="I16" s="135">
        <f t="shared" si="4"/>
        <v>766</v>
      </c>
      <c r="J16" s="107">
        <f t="shared" si="5"/>
        <v>8.782389360238477</v>
      </c>
      <c r="K16" s="109">
        <f t="shared" si="6"/>
        <v>4.186249863373046</v>
      </c>
    </row>
    <row r="17" spans="1:11" s="6" customFormat="1" ht="15.75" customHeight="1" thickBot="1">
      <c r="A17" s="110" t="s">
        <v>16</v>
      </c>
      <c r="B17" s="221" t="s">
        <v>45</v>
      </c>
      <c r="C17" s="93"/>
      <c r="D17" s="94">
        <f t="shared" si="0"/>
        <v>0</v>
      </c>
      <c r="E17" s="95">
        <f t="shared" si="1"/>
        <v>0</v>
      </c>
      <c r="F17" s="85">
        <v>0</v>
      </c>
      <c r="G17" s="94">
        <f t="shared" si="2"/>
        <v>0</v>
      </c>
      <c r="H17" s="95">
        <f t="shared" si="3"/>
        <v>0</v>
      </c>
      <c r="I17" s="145">
        <f t="shared" si="4"/>
        <v>0</v>
      </c>
      <c r="J17" s="94">
        <f t="shared" si="5"/>
        <v>0</v>
      </c>
      <c r="K17" s="97">
        <f t="shared" si="6"/>
        <v>0</v>
      </c>
    </row>
    <row r="18" spans="1:11" s="6" customFormat="1" ht="15.75" customHeight="1" thickBot="1">
      <c r="A18" s="99" t="s">
        <v>17</v>
      </c>
      <c r="B18" s="224" t="s">
        <v>46</v>
      </c>
      <c r="C18" s="93">
        <v>15</v>
      </c>
      <c r="D18" s="157">
        <f t="shared" si="0"/>
        <v>1.168406293815236</v>
      </c>
      <c r="E18" s="95">
        <f t="shared" si="1"/>
        <v>0.4719949653870359</v>
      </c>
      <c r="F18" s="84">
        <v>4046</v>
      </c>
      <c r="G18" s="157">
        <f t="shared" si="2"/>
        <v>54.394880481837006</v>
      </c>
      <c r="H18" s="95">
        <f t="shared" si="3"/>
        <v>26.75925925925926</v>
      </c>
      <c r="I18" s="164">
        <f t="shared" si="4"/>
        <v>4061</v>
      </c>
      <c r="J18" s="157">
        <f t="shared" si="5"/>
        <v>46.56042192157762</v>
      </c>
      <c r="K18" s="158">
        <f t="shared" si="6"/>
        <v>22.193682369657886</v>
      </c>
    </row>
    <row r="19" spans="1:11" s="1" customFormat="1" ht="15" customHeight="1">
      <c r="A19" s="4"/>
      <c r="B19" s="225" t="s">
        <v>47</v>
      </c>
      <c r="C19" s="115"/>
      <c r="D19" s="12">
        <f t="shared" si="0"/>
        <v>0</v>
      </c>
      <c r="E19" s="31">
        <f t="shared" si="1"/>
        <v>0</v>
      </c>
      <c r="F19" s="87">
        <v>10</v>
      </c>
      <c r="G19" s="12">
        <f t="shared" si="2"/>
        <v>0.1344411282299481</v>
      </c>
      <c r="H19" s="31">
        <f t="shared" si="3"/>
        <v>0.06613756613756613</v>
      </c>
      <c r="I19" s="132">
        <f t="shared" si="4"/>
        <v>10</v>
      </c>
      <c r="J19" s="12">
        <f t="shared" si="5"/>
        <v>0.11465260261407934</v>
      </c>
      <c r="K19" s="13">
        <f t="shared" si="6"/>
        <v>0.05465078150617554</v>
      </c>
    </row>
    <row r="20" spans="1:11" s="1" customFormat="1" ht="14.25" customHeight="1">
      <c r="A20" s="4"/>
      <c r="B20" s="225" t="s">
        <v>48</v>
      </c>
      <c r="C20" s="86"/>
      <c r="D20" s="12">
        <f t="shared" si="0"/>
        <v>0</v>
      </c>
      <c r="E20" s="32">
        <f t="shared" si="1"/>
        <v>0</v>
      </c>
      <c r="F20" s="86">
        <v>1097</v>
      </c>
      <c r="G20" s="12">
        <f t="shared" si="2"/>
        <v>14.748191766825308</v>
      </c>
      <c r="H20" s="32">
        <f t="shared" si="3"/>
        <v>7.255291005291006</v>
      </c>
      <c r="I20" s="132">
        <f t="shared" si="4"/>
        <v>1097</v>
      </c>
      <c r="J20" s="12">
        <f t="shared" si="5"/>
        <v>12.577390506764504</v>
      </c>
      <c r="K20" s="13">
        <f t="shared" si="6"/>
        <v>5.995190731227456</v>
      </c>
    </row>
    <row r="21" spans="1:11" s="1" customFormat="1" ht="13.5" thickBot="1">
      <c r="A21" s="4"/>
      <c r="B21" s="225" t="s">
        <v>49</v>
      </c>
      <c r="C21" s="86"/>
      <c r="D21" s="12">
        <f t="shared" si="0"/>
        <v>0</v>
      </c>
      <c r="E21" s="32">
        <f t="shared" si="1"/>
        <v>0</v>
      </c>
      <c r="F21" s="117">
        <v>473</v>
      </c>
      <c r="G21" s="12">
        <f t="shared" si="2"/>
        <v>6.359065365276545</v>
      </c>
      <c r="H21" s="32">
        <f t="shared" si="3"/>
        <v>3.128306878306878</v>
      </c>
      <c r="I21" s="132">
        <f t="shared" si="4"/>
        <v>473</v>
      </c>
      <c r="J21" s="12">
        <f t="shared" si="5"/>
        <v>5.423068103645953</v>
      </c>
      <c r="K21" s="13">
        <f t="shared" si="6"/>
        <v>2.584981965242103</v>
      </c>
    </row>
    <row r="22" spans="1:11" s="6" customFormat="1" ht="15.75" customHeight="1" thickBot="1">
      <c r="A22" s="99" t="s">
        <v>28</v>
      </c>
      <c r="B22" s="221" t="s">
        <v>50</v>
      </c>
      <c r="C22" s="93">
        <v>1476</v>
      </c>
      <c r="D22" s="94">
        <f t="shared" si="0"/>
        <v>114.97117931141922</v>
      </c>
      <c r="E22" s="95">
        <f t="shared" si="1"/>
        <v>46.44430459408433</v>
      </c>
      <c r="F22" s="84">
        <v>687</v>
      </c>
      <c r="G22" s="94">
        <f t="shared" si="2"/>
        <v>9.236105509397435</v>
      </c>
      <c r="H22" s="95">
        <f t="shared" si="3"/>
        <v>4.5436507936507935</v>
      </c>
      <c r="I22" s="145">
        <f t="shared" si="4"/>
        <v>2163</v>
      </c>
      <c r="J22" s="94">
        <f t="shared" si="5"/>
        <v>24.79935794542536</v>
      </c>
      <c r="K22" s="97">
        <f t="shared" si="6"/>
        <v>11.82096403978577</v>
      </c>
    </row>
    <row r="23" spans="1:11" s="1" customFormat="1" ht="16.5" customHeight="1">
      <c r="A23" s="4"/>
      <c r="B23" s="218" t="s">
        <v>51</v>
      </c>
      <c r="C23" s="115">
        <v>234</v>
      </c>
      <c r="D23" s="18">
        <f t="shared" si="0"/>
        <v>18.22713818351768</v>
      </c>
      <c r="E23" s="31">
        <f t="shared" si="1"/>
        <v>7.3631214600377595</v>
      </c>
      <c r="F23" s="87">
        <v>0</v>
      </c>
      <c r="G23" s="18">
        <f t="shared" si="2"/>
        <v>0</v>
      </c>
      <c r="H23" s="31">
        <f t="shared" si="3"/>
        <v>0</v>
      </c>
      <c r="I23" s="138">
        <f t="shared" si="4"/>
        <v>234</v>
      </c>
      <c r="J23" s="18">
        <f t="shared" si="5"/>
        <v>2.6828709011694567</v>
      </c>
      <c r="K23" s="19">
        <f t="shared" si="6"/>
        <v>1.2788282872445076</v>
      </c>
    </row>
    <row r="24" spans="1:11" s="1" customFormat="1" ht="14.25" customHeight="1">
      <c r="A24" s="4"/>
      <c r="B24" s="225" t="s">
        <v>52</v>
      </c>
      <c r="C24" s="116">
        <v>761</v>
      </c>
      <c r="D24" s="12">
        <f t="shared" si="0"/>
        <v>59.277145972892974</v>
      </c>
      <c r="E24" s="32">
        <f t="shared" si="1"/>
        <v>23.94587791063562</v>
      </c>
      <c r="F24" s="86">
        <v>337</v>
      </c>
      <c r="G24" s="12">
        <f t="shared" si="2"/>
        <v>4.530666021349251</v>
      </c>
      <c r="H24" s="32">
        <f t="shared" si="3"/>
        <v>2.2288359788359786</v>
      </c>
      <c r="I24" s="132">
        <f t="shared" si="4"/>
        <v>1098</v>
      </c>
      <c r="J24" s="12">
        <f t="shared" si="5"/>
        <v>12.588855767025912</v>
      </c>
      <c r="K24" s="13">
        <f t="shared" si="6"/>
        <v>6.000655809378074</v>
      </c>
    </row>
    <row r="25" spans="1:11" s="1" customFormat="1" ht="15" customHeight="1">
      <c r="A25" s="4"/>
      <c r="B25" s="225" t="s">
        <v>85</v>
      </c>
      <c r="C25" s="116"/>
      <c r="D25" s="12">
        <f t="shared" si="0"/>
        <v>0</v>
      </c>
      <c r="E25" s="32">
        <f t="shared" si="1"/>
        <v>0</v>
      </c>
      <c r="F25" s="86">
        <v>136</v>
      </c>
      <c r="G25" s="12">
        <f t="shared" si="2"/>
        <v>1.8283993439272943</v>
      </c>
      <c r="H25" s="32">
        <f t="shared" si="3"/>
        <v>0.8994708994708994</v>
      </c>
      <c r="I25" s="132">
        <f t="shared" si="4"/>
        <v>136</v>
      </c>
      <c r="J25" s="12">
        <f t="shared" si="5"/>
        <v>1.559275395551479</v>
      </c>
      <c r="K25" s="13">
        <f t="shared" si="6"/>
        <v>0.7432506284839874</v>
      </c>
    </row>
    <row r="26" spans="1:11" s="1" customFormat="1" ht="13.5" customHeight="1" thickBot="1">
      <c r="A26" s="4"/>
      <c r="B26" s="225" t="s">
        <v>86</v>
      </c>
      <c r="C26" s="116">
        <v>26</v>
      </c>
      <c r="D26" s="12">
        <f t="shared" si="0"/>
        <v>2.025237575946409</v>
      </c>
      <c r="E26" s="32">
        <f t="shared" si="1"/>
        <v>0.8181246066708622</v>
      </c>
      <c r="F26" s="117">
        <v>13</v>
      </c>
      <c r="G26" s="12">
        <f t="shared" si="2"/>
        <v>0.17477346669893254</v>
      </c>
      <c r="H26" s="32">
        <f t="shared" si="3"/>
        <v>0.08597883597883597</v>
      </c>
      <c r="I26" s="132">
        <f t="shared" si="4"/>
        <v>39</v>
      </c>
      <c r="J26" s="12">
        <f t="shared" si="5"/>
        <v>0.4471451501949094</v>
      </c>
      <c r="K26" s="13">
        <f t="shared" si="6"/>
        <v>0.2131380478740846</v>
      </c>
    </row>
    <row r="27" spans="1:11" s="6" customFormat="1" ht="18.75" customHeight="1" thickBot="1">
      <c r="A27" s="99" t="s">
        <v>18</v>
      </c>
      <c r="B27" s="221" t="s">
        <v>53</v>
      </c>
      <c r="C27" s="93">
        <v>202</v>
      </c>
      <c r="D27" s="94">
        <f t="shared" si="0"/>
        <v>15.734538090045179</v>
      </c>
      <c r="E27" s="95">
        <f t="shared" si="1"/>
        <v>6.3561988672120835</v>
      </c>
      <c r="F27" s="84">
        <v>1969</v>
      </c>
      <c r="G27" s="94">
        <f t="shared" si="2"/>
        <v>26.47145814847678</v>
      </c>
      <c r="H27" s="95">
        <f t="shared" si="3"/>
        <v>13.022486772486772</v>
      </c>
      <c r="I27" s="145">
        <f t="shared" si="4"/>
        <v>2171</v>
      </c>
      <c r="J27" s="94">
        <f t="shared" si="5"/>
        <v>24.891080027516626</v>
      </c>
      <c r="K27" s="97">
        <f t="shared" si="6"/>
        <v>11.86468466499071</v>
      </c>
    </row>
    <row r="28" spans="1:11" s="1" customFormat="1" ht="12.75">
      <c r="A28" s="4"/>
      <c r="B28" s="218" t="s">
        <v>54</v>
      </c>
      <c r="C28" s="115"/>
      <c r="D28" s="18">
        <f t="shared" si="0"/>
        <v>0</v>
      </c>
      <c r="E28" s="31">
        <f t="shared" si="1"/>
        <v>0</v>
      </c>
      <c r="F28" s="87">
        <v>181</v>
      </c>
      <c r="G28" s="18">
        <f>F28*1000/$G$2</f>
        <v>2.4333844209620605</v>
      </c>
      <c r="H28" s="31">
        <f t="shared" si="3"/>
        <v>1.197089947089947</v>
      </c>
      <c r="I28" s="138">
        <f t="shared" si="4"/>
        <v>181</v>
      </c>
      <c r="J28" s="18">
        <f t="shared" si="5"/>
        <v>2.075212107314836</v>
      </c>
      <c r="K28" s="19">
        <f t="shared" si="6"/>
        <v>0.9891791452617772</v>
      </c>
    </row>
    <row r="29" spans="1:11" s="1" customFormat="1" ht="13.5" customHeight="1">
      <c r="A29" s="4"/>
      <c r="B29" s="225" t="s">
        <v>55</v>
      </c>
      <c r="C29" s="116">
        <v>63</v>
      </c>
      <c r="D29" s="12">
        <f t="shared" si="0"/>
        <v>4.907306434023991</v>
      </c>
      <c r="E29" s="32">
        <f t="shared" si="1"/>
        <v>1.9823788546255507</v>
      </c>
      <c r="F29" s="86">
        <v>35</v>
      </c>
      <c r="G29" s="12">
        <f t="shared" si="2"/>
        <v>0.47054394880481837</v>
      </c>
      <c r="H29" s="32">
        <f t="shared" si="3"/>
        <v>0.23148148148148148</v>
      </c>
      <c r="I29" s="132">
        <f t="shared" si="4"/>
        <v>98</v>
      </c>
      <c r="J29" s="12">
        <f t="shared" si="5"/>
        <v>1.1235955056179776</v>
      </c>
      <c r="K29" s="13">
        <f t="shared" si="6"/>
        <v>0.5355776587605203</v>
      </c>
    </row>
    <row r="30" spans="1:11" s="1" customFormat="1" ht="12.75">
      <c r="A30" s="4"/>
      <c r="B30" s="225" t="s">
        <v>56</v>
      </c>
      <c r="C30" s="116">
        <v>26</v>
      </c>
      <c r="D30" s="12">
        <f t="shared" si="0"/>
        <v>2.025237575946409</v>
      </c>
      <c r="E30" s="32">
        <f t="shared" si="1"/>
        <v>0.8181246066708622</v>
      </c>
      <c r="F30" s="88">
        <v>291</v>
      </c>
      <c r="G30" s="12">
        <f t="shared" si="2"/>
        <v>3.91223683149149</v>
      </c>
      <c r="H30" s="32">
        <f t="shared" si="3"/>
        <v>1.9246031746031746</v>
      </c>
      <c r="I30" s="132">
        <f t="shared" si="4"/>
        <v>317</v>
      </c>
      <c r="J30" s="12">
        <f t="shared" si="5"/>
        <v>3.6344875028663153</v>
      </c>
      <c r="K30" s="13">
        <f t="shared" si="6"/>
        <v>1.7324297737457646</v>
      </c>
    </row>
    <row r="31" spans="1:11" s="1" customFormat="1" ht="16.5" customHeight="1" thickBot="1">
      <c r="A31" s="5"/>
      <c r="B31" s="225" t="s">
        <v>57</v>
      </c>
      <c r="C31" s="116">
        <v>1</v>
      </c>
      <c r="D31" s="12">
        <f t="shared" si="0"/>
        <v>0.07789375292101573</v>
      </c>
      <c r="E31" s="32">
        <f t="shared" si="1"/>
        <v>0.03146633102580239</v>
      </c>
      <c r="F31" s="89">
        <v>212</v>
      </c>
      <c r="G31" s="12">
        <f t="shared" si="2"/>
        <v>2.8501519184749</v>
      </c>
      <c r="H31" s="32">
        <f t="shared" si="3"/>
        <v>1.402116402116402</v>
      </c>
      <c r="I31" s="132">
        <f t="shared" si="4"/>
        <v>213</v>
      </c>
      <c r="J31" s="12">
        <f t="shared" si="5"/>
        <v>2.44210043567989</v>
      </c>
      <c r="K31" s="13">
        <f t="shared" si="6"/>
        <v>1.164061646081539</v>
      </c>
    </row>
    <row r="32" spans="1:11" s="1" customFormat="1" ht="16.5" customHeight="1" thickBot="1">
      <c r="A32" s="99" t="s">
        <v>75</v>
      </c>
      <c r="B32" s="221" t="s">
        <v>61</v>
      </c>
      <c r="C32" s="93">
        <v>51</v>
      </c>
      <c r="D32" s="94">
        <f t="shared" si="0"/>
        <v>3.9725813989718026</v>
      </c>
      <c r="E32" s="95">
        <f t="shared" si="1"/>
        <v>1.604782882315922</v>
      </c>
      <c r="F32" s="84">
        <v>389</v>
      </c>
      <c r="G32" s="94">
        <f>F32*1000/$G$2</f>
        <v>5.229759888144981</v>
      </c>
      <c r="H32" s="95">
        <f t="shared" si="3"/>
        <v>2.572751322751323</v>
      </c>
      <c r="I32" s="145">
        <f>SUM(C32,F32)</f>
        <v>440</v>
      </c>
      <c r="J32" s="94">
        <f>I32*1000/$J$2</f>
        <v>5.044714515019491</v>
      </c>
      <c r="K32" s="97">
        <f t="shared" si="6"/>
        <v>2.4046343862717237</v>
      </c>
    </row>
    <row r="33" spans="1:11" s="1" customFormat="1" ht="26.25" thickBot="1">
      <c r="A33" s="99" t="s">
        <v>76</v>
      </c>
      <c r="B33" s="221" t="s">
        <v>62</v>
      </c>
      <c r="C33" s="93">
        <v>21</v>
      </c>
      <c r="D33" s="94">
        <f t="shared" si="0"/>
        <v>1.6357688113413305</v>
      </c>
      <c r="E33" s="95">
        <f t="shared" si="1"/>
        <v>0.6607929515418502</v>
      </c>
      <c r="F33" s="84">
        <v>628</v>
      </c>
      <c r="G33" s="94">
        <f>F33*1000/$G$2</f>
        <v>8.44290285284074</v>
      </c>
      <c r="H33" s="95">
        <f t="shared" si="3"/>
        <v>4.1534391534391535</v>
      </c>
      <c r="I33" s="145">
        <f>SUM(C33,F33)</f>
        <v>649</v>
      </c>
      <c r="J33" s="94">
        <f>I33*1000/$J$2</f>
        <v>7.440953909653749</v>
      </c>
      <c r="K33" s="97">
        <f t="shared" si="6"/>
        <v>3.5468357197507925</v>
      </c>
    </row>
    <row r="34" spans="1:11" s="6" customFormat="1" ht="21" customHeight="1" thickBot="1">
      <c r="A34" s="99" t="s">
        <v>19</v>
      </c>
      <c r="B34" s="221" t="s">
        <v>58</v>
      </c>
      <c r="C34" s="93">
        <v>172</v>
      </c>
      <c r="D34" s="94">
        <f t="shared" si="0"/>
        <v>13.397725502414707</v>
      </c>
      <c r="E34" s="95">
        <f t="shared" si="1"/>
        <v>5.412208936438011</v>
      </c>
      <c r="F34" s="84">
        <v>1041</v>
      </c>
      <c r="G34" s="94">
        <f t="shared" si="2"/>
        <v>13.995321448737597</v>
      </c>
      <c r="H34" s="95">
        <f t="shared" si="3"/>
        <v>6.884920634920635</v>
      </c>
      <c r="I34" s="145">
        <f t="shared" si="4"/>
        <v>1213</v>
      </c>
      <c r="J34" s="94">
        <f t="shared" si="5"/>
        <v>13.907360697087825</v>
      </c>
      <c r="K34" s="97">
        <f t="shared" si="6"/>
        <v>6.629139796699093</v>
      </c>
    </row>
    <row r="35" spans="1:11" s="1" customFormat="1" ht="12.75">
      <c r="A35" s="4"/>
      <c r="B35" s="218" t="s">
        <v>59</v>
      </c>
      <c r="C35" s="115">
        <v>86</v>
      </c>
      <c r="D35" s="25">
        <f t="shared" si="0"/>
        <v>6.698862751207353</v>
      </c>
      <c r="E35" s="36">
        <f t="shared" si="1"/>
        <v>2.7061044682190056</v>
      </c>
      <c r="F35" s="87">
        <v>722</v>
      </c>
      <c r="G35" s="25">
        <f t="shared" si="2"/>
        <v>9.706649458202254</v>
      </c>
      <c r="H35" s="36">
        <f t="shared" si="3"/>
        <v>4.775132275132275</v>
      </c>
      <c r="I35" s="138">
        <f t="shared" si="4"/>
        <v>808</v>
      </c>
      <c r="J35" s="25">
        <f t="shared" si="5"/>
        <v>9.26393029121761</v>
      </c>
      <c r="K35" s="26">
        <f t="shared" si="6"/>
        <v>4.415783145698984</v>
      </c>
    </row>
    <row r="36" spans="1:11" s="1" customFormat="1" ht="13.5" customHeight="1">
      <c r="A36" s="4"/>
      <c r="B36" s="226" t="s">
        <v>31</v>
      </c>
      <c r="C36" s="116">
        <v>86</v>
      </c>
      <c r="D36" s="27">
        <f t="shared" si="0"/>
        <v>6.698862751207353</v>
      </c>
      <c r="E36" s="37">
        <f t="shared" si="1"/>
        <v>2.7061044682190056</v>
      </c>
      <c r="F36" s="86">
        <v>247</v>
      </c>
      <c r="G36" s="27">
        <f t="shared" si="2"/>
        <v>3.320695867279718</v>
      </c>
      <c r="H36" s="37">
        <f t="shared" si="3"/>
        <v>1.6335978835978835</v>
      </c>
      <c r="I36" s="132">
        <f t="shared" si="4"/>
        <v>333</v>
      </c>
      <c r="J36" s="27">
        <f t="shared" si="5"/>
        <v>3.817931667048842</v>
      </c>
      <c r="K36" s="28">
        <f t="shared" si="6"/>
        <v>1.8198710241556455</v>
      </c>
    </row>
    <row r="37" spans="1:11" s="1" customFormat="1" ht="12" customHeight="1" thickBot="1">
      <c r="A37" s="16"/>
      <c r="B37" s="225" t="s">
        <v>84</v>
      </c>
      <c r="C37" s="116"/>
      <c r="D37" s="27">
        <f t="shared" si="0"/>
        <v>0</v>
      </c>
      <c r="E37" s="37">
        <f t="shared" si="1"/>
        <v>0</v>
      </c>
      <c r="F37" s="118">
        <v>213</v>
      </c>
      <c r="G37" s="27">
        <f t="shared" si="2"/>
        <v>2.8635960312978948</v>
      </c>
      <c r="H37" s="37">
        <f t="shared" si="3"/>
        <v>1.4087301587301588</v>
      </c>
      <c r="I37" s="132">
        <f t="shared" si="4"/>
        <v>213</v>
      </c>
      <c r="J37" s="27">
        <f t="shared" si="5"/>
        <v>2.44210043567989</v>
      </c>
      <c r="K37" s="28">
        <f t="shared" si="6"/>
        <v>1.164061646081539</v>
      </c>
    </row>
    <row r="38" spans="1:11" s="6" customFormat="1" ht="21" customHeight="1" thickBot="1">
      <c r="A38" s="99" t="s">
        <v>20</v>
      </c>
      <c r="B38" s="221" t="s">
        <v>32</v>
      </c>
      <c r="C38" s="93">
        <v>87</v>
      </c>
      <c r="D38" s="94">
        <f t="shared" si="0"/>
        <v>6.776756504128369</v>
      </c>
      <c r="E38" s="95">
        <f t="shared" si="1"/>
        <v>2.737570799244808</v>
      </c>
      <c r="F38" s="84">
        <v>1629</v>
      </c>
      <c r="G38" s="94">
        <f t="shared" si="2"/>
        <v>21.900459788658548</v>
      </c>
      <c r="H38" s="95">
        <f t="shared" si="3"/>
        <v>10.773809523809524</v>
      </c>
      <c r="I38" s="145">
        <f t="shared" si="4"/>
        <v>1716</v>
      </c>
      <c r="J38" s="94">
        <f t="shared" si="5"/>
        <v>19.674386608576015</v>
      </c>
      <c r="K38" s="113">
        <f t="shared" si="6"/>
        <v>9.378074106459723</v>
      </c>
    </row>
    <row r="39" spans="1:11" s="1" customFormat="1" ht="12.75">
      <c r="A39" s="4"/>
      <c r="B39" s="218" t="s">
        <v>60</v>
      </c>
      <c r="C39" s="115">
        <v>17</v>
      </c>
      <c r="D39" s="18">
        <f t="shared" si="0"/>
        <v>1.3241937996572675</v>
      </c>
      <c r="E39" s="31">
        <f t="shared" si="1"/>
        <v>0.5349276274386406</v>
      </c>
      <c r="F39" s="87">
        <v>240</v>
      </c>
      <c r="G39" s="18">
        <f t="shared" si="2"/>
        <v>3.2265870775187544</v>
      </c>
      <c r="H39" s="31">
        <f t="shared" si="3"/>
        <v>1.5873015873015872</v>
      </c>
      <c r="I39" s="138">
        <f t="shared" si="4"/>
        <v>257</v>
      </c>
      <c r="J39" s="18">
        <f t="shared" si="5"/>
        <v>2.946571887181839</v>
      </c>
      <c r="K39" s="19">
        <f t="shared" si="6"/>
        <v>1.4045250847087114</v>
      </c>
    </row>
    <row r="40" spans="1:11" s="1" customFormat="1" ht="12.75">
      <c r="A40" s="4"/>
      <c r="B40" s="225" t="s">
        <v>34</v>
      </c>
      <c r="C40" s="116">
        <v>3</v>
      </c>
      <c r="D40" s="12">
        <f t="shared" si="0"/>
        <v>0.2336812587630472</v>
      </c>
      <c r="E40" s="32">
        <f t="shared" si="1"/>
        <v>0.09439899307740718</v>
      </c>
      <c r="F40" s="86">
        <v>139</v>
      </c>
      <c r="G40" s="12">
        <f t="shared" si="2"/>
        <v>1.8687316823962787</v>
      </c>
      <c r="H40" s="32">
        <f t="shared" si="3"/>
        <v>0.9193121693121693</v>
      </c>
      <c r="I40" s="132">
        <f t="shared" si="4"/>
        <v>142</v>
      </c>
      <c r="J40" s="12">
        <f t="shared" si="5"/>
        <v>1.6280669571199267</v>
      </c>
      <c r="K40" s="13">
        <f t="shared" si="6"/>
        <v>0.7760410973876927</v>
      </c>
    </row>
    <row r="41" spans="1:11" s="1" customFormat="1" ht="12.75">
      <c r="A41" s="4"/>
      <c r="B41" s="225" t="s">
        <v>25</v>
      </c>
      <c r="C41" s="116"/>
      <c r="D41" s="12">
        <f t="shared" si="0"/>
        <v>0</v>
      </c>
      <c r="E41" s="32">
        <f t="shared" si="1"/>
        <v>0</v>
      </c>
      <c r="F41" s="86">
        <v>15</v>
      </c>
      <c r="G41" s="12">
        <f t="shared" si="2"/>
        <v>0.20166169234492215</v>
      </c>
      <c r="H41" s="32">
        <f t="shared" si="3"/>
        <v>0.0992063492063492</v>
      </c>
      <c r="I41" s="132">
        <f t="shared" si="4"/>
        <v>15</v>
      </c>
      <c r="J41" s="12">
        <f t="shared" si="5"/>
        <v>0.171978903921119</v>
      </c>
      <c r="K41" s="13">
        <f t="shared" si="6"/>
        <v>0.0819761722592633</v>
      </c>
    </row>
    <row r="42" spans="1:11" s="1" customFormat="1" ht="13.5" thickBot="1">
      <c r="A42" s="5"/>
      <c r="B42" s="225" t="s">
        <v>35</v>
      </c>
      <c r="C42" s="116">
        <v>29</v>
      </c>
      <c r="D42" s="12">
        <f t="shared" si="0"/>
        <v>2.258918834709456</v>
      </c>
      <c r="E42" s="32">
        <f t="shared" si="1"/>
        <v>0.9125235997482694</v>
      </c>
      <c r="F42" s="117">
        <v>614</v>
      </c>
      <c r="G42" s="12">
        <f t="shared" si="2"/>
        <v>8.254685273318813</v>
      </c>
      <c r="H42" s="32">
        <f t="shared" si="3"/>
        <v>4.060846560846561</v>
      </c>
      <c r="I42" s="132">
        <f t="shared" si="4"/>
        <v>643</v>
      </c>
      <c r="J42" s="12">
        <f t="shared" si="5"/>
        <v>7.372162348085301</v>
      </c>
      <c r="K42" s="13">
        <f t="shared" si="6"/>
        <v>3.514045250847087</v>
      </c>
    </row>
    <row r="43" spans="1:11" s="6" customFormat="1" ht="23.25" customHeight="1" thickBot="1">
      <c r="A43" s="99" t="s">
        <v>21</v>
      </c>
      <c r="B43" s="221" t="s">
        <v>64</v>
      </c>
      <c r="C43" s="93">
        <v>246</v>
      </c>
      <c r="D43" s="94">
        <f t="shared" si="0"/>
        <v>19.16186321856987</v>
      </c>
      <c r="E43" s="95">
        <f t="shared" si="1"/>
        <v>7.740717432347388</v>
      </c>
      <c r="F43" s="84">
        <v>0</v>
      </c>
      <c r="G43" s="94">
        <f t="shared" si="2"/>
        <v>0</v>
      </c>
      <c r="H43" s="95">
        <f t="shared" si="3"/>
        <v>0</v>
      </c>
      <c r="I43" s="145">
        <f t="shared" si="4"/>
        <v>246</v>
      </c>
      <c r="J43" s="94">
        <f t="shared" si="5"/>
        <v>2.820454024306352</v>
      </c>
      <c r="K43" s="113">
        <f t="shared" si="6"/>
        <v>1.3444092250519182</v>
      </c>
    </row>
    <row r="44" spans="1:11" s="1" customFormat="1" ht="30" customHeight="1" thickBot="1">
      <c r="A44" s="9"/>
      <c r="B44" s="161" t="s">
        <v>81</v>
      </c>
      <c r="C44" s="115">
        <v>10</v>
      </c>
      <c r="D44" s="18">
        <f t="shared" si="0"/>
        <v>0.7789375292101574</v>
      </c>
      <c r="E44" s="31">
        <f t="shared" si="1"/>
        <v>0.3146633102580239</v>
      </c>
      <c r="F44" s="121">
        <v>0</v>
      </c>
      <c r="G44" s="18">
        <f t="shared" si="2"/>
        <v>0</v>
      </c>
      <c r="H44" s="31">
        <f t="shared" si="3"/>
        <v>0</v>
      </c>
      <c r="I44" s="138">
        <f t="shared" si="4"/>
        <v>10</v>
      </c>
      <c r="J44" s="18">
        <f t="shared" si="5"/>
        <v>0.11465260261407934</v>
      </c>
      <c r="K44" s="19">
        <f t="shared" si="6"/>
        <v>0.05465078150617554</v>
      </c>
    </row>
    <row r="45" spans="1:11" s="1" customFormat="1" ht="16.5" customHeight="1" thickBot="1">
      <c r="A45" s="4"/>
      <c r="B45" s="227" t="s">
        <v>79</v>
      </c>
      <c r="C45" s="116">
        <v>18</v>
      </c>
      <c r="D45" s="12">
        <f t="shared" si="0"/>
        <v>1.4020875525782832</v>
      </c>
      <c r="E45" s="32">
        <f t="shared" si="1"/>
        <v>0.5663939584644431</v>
      </c>
      <c r="F45" s="122">
        <v>0</v>
      </c>
      <c r="G45" s="12">
        <f t="shared" si="2"/>
        <v>0</v>
      </c>
      <c r="H45" s="32">
        <f t="shared" si="3"/>
        <v>0</v>
      </c>
      <c r="I45" s="132">
        <f t="shared" si="4"/>
        <v>18</v>
      </c>
      <c r="J45" s="12">
        <f t="shared" si="5"/>
        <v>0.20637468470534281</v>
      </c>
      <c r="K45" s="13">
        <f t="shared" si="6"/>
        <v>0.09837140671111597</v>
      </c>
    </row>
    <row r="46" spans="1:11" s="1" customFormat="1" ht="18" customHeight="1" thickBot="1">
      <c r="A46" s="99" t="s">
        <v>77</v>
      </c>
      <c r="B46" s="221" t="s">
        <v>63</v>
      </c>
      <c r="C46" s="93">
        <v>5</v>
      </c>
      <c r="D46" s="94">
        <f t="shared" si="0"/>
        <v>0.3894687646050787</v>
      </c>
      <c r="E46" s="95">
        <f t="shared" si="1"/>
        <v>0.15733165512901195</v>
      </c>
      <c r="F46" s="84">
        <v>2</v>
      </c>
      <c r="G46" s="94">
        <f>F46*1000/$G$2</f>
        <v>0.02688822564598962</v>
      </c>
      <c r="H46" s="95">
        <f t="shared" si="3"/>
        <v>0.013227513227513227</v>
      </c>
      <c r="I46" s="145">
        <f>SUM(C46,F46)</f>
        <v>7</v>
      </c>
      <c r="J46" s="94">
        <f>I46*1000/$J$2</f>
        <v>0.08025682182985554</v>
      </c>
      <c r="K46" s="97">
        <f t="shared" si="6"/>
        <v>0.03825554705432287</v>
      </c>
    </row>
    <row r="47" spans="1:11" s="6" customFormat="1" ht="21" customHeight="1" thickBot="1">
      <c r="A47" s="99" t="s">
        <v>29</v>
      </c>
      <c r="B47" s="221" t="s">
        <v>65</v>
      </c>
      <c r="C47" s="93">
        <v>18</v>
      </c>
      <c r="D47" s="94">
        <f t="shared" si="0"/>
        <v>1.4020875525782832</v>
      </c>
      <c r="E47" s="95">
        <f t="shared" si="1"/>
        <v>0.5663939584644431</v>
      </c>
      <c r="F47" s="84">
        <v>167</v>
      </c>
      <c r="G47" s="94">
        <f t="shared" si="2"/>
        <v>2.2451668414401333</v>
      </c>
      <c r="H47" s="95">
        <f t="shared" si="3"/>
        <v>1.1044973544973544</v>
      </c>
      <c r="I47" s="145">
        <f t="shared" si="4"/>
        <v>185</v>
      </c>
      <c r="J47" s="94">
        <f t="shared" si="5"/>
        <v>2.121073148360468</v>
      </c>
      <c r="K47" s="97">
        <f t="shared" si="6"/>
        <v>1.0110394578642474</v>
      </c>
    </row>
    <row r="48" spans="1:11" s="6" customFormat="1" ht="19.5" customHeight="1" thickBot="1">
      <c r="A48" s="99" t="s">
        <v>30</v>
      </c>
      <c r="B48" s="221" t="s">
        <v>66</v>
      </c>
      <c r="C48" s="93">
        <v>480</v>
      </c>
      <c r="D48" s="94">
        <f t="shared" si="0"/>
        <v>37.38900140208755</v>
      </c>
      <c r="E48" s="95">
        <f t="shared" si="1"/>
        <v>15.103838892385149</v>
      </c>
      <c r="F48" s="84">
        <v>1452</v>
      </c>
      <c r="G48" s="94">
        <f t="shared" si="2"/>
        <v>19.520851818988465</v>
      </c>
      <c r="H48" s="95">
        <f t="shared" si="3"/>
        <v>9.603174603174603</v>
      </c>
      <c r="I48" s="145">
        <f t="shared" si="4"/>
        <v>1932</v>
      </c>
      <c r="J48" s="94">
        <f t="shared" si="5"/>
        <v>22.150882825040128</v>
      </c>
      <c r="K48" s="97">
        <f t="shared" si="6"/>
        <v>10.558530986993114</v>
      </c>
    </row>
    <row r="49" spans="1:11" s="1" customFormat="1" ht="12.75">
      <c r="A49" s="4"/>
      <c r="B49" s="218" t="s">
        <v>67</v>
      </c>
      <c r="C49" s="115">
        <v>102</v>
      </c>
      <c r="D49" s="18">
        <f t="shared" si="0"/>
        <v>7.945162797943605</v>
      </c>
      <c r="E49" s="31">
        <f t="shared" si="1"/>
        <v>3.209565764631844</v>
      </c>
      <c r="F49" s="87">
        <v>321</v>
      </c>
      <c r="G49" s="18">
        <f t="shared" si="2"/>
        <v>4.315560216181334</v>
      </c>
      <c r="H49" s="31">
        <f t="shared" si="3"/>
        <v>2.123015873015873</v>
      </c>
      <c r="I49" s="138">
        <f t="shared" si="4"/>
        <v>423</v>
      </c>
      <c r="J49" s="18">
        <f t="shared" si="5"/>
        <v>4.849805090575556</v>
      </c>
      <c r="K49" s="19">
        <f t="shared" si="6"/>
        <v>2.311728057711225</v>
      </c>
    </row>
    <row r="50" spans="1:11" s="1" customFormat="1" ht="12.75">
      <c r="A50" s="4"/>
      <c r="B50" s="225" t="s">
        <v>71</v>
      </c>
      <c r="C50" s="116">
        <v>3</v>
      </c>
      <c r="D50" s="12">
        <f t="shared" si="0"/>
        <v>0.2336812587630472</v>
      </c>
      <c r="E50" s="32">
        <f t="shared" si="1"/>
        <v>0.09439899307740718</v>
      </c>
      <c r="F50" s="86">
        <v>7</v>
      </c>
      <c r="G50" s="12">
        <f t="shared" si="2"/>
        <v>0.09410878976096368</v>
      </c>
      <c r="H50" s="32">
        <f t="shared" si="3"/>
        <v>0.046296296296296294</v>
      </c>
      <c r="I50" s="132">
        <f t="shared" si="4"/>
        <v>10</v>
      </c>
      <c r="J50" s="12">
        <f t="shared" si="5"/>
        <v>0.11465260261407934</v>
      </c>
      <c r="K50" s="13">
        <f t="shared" si="6"/>
        <v>0.05465078150617554</v>
      </c>
    </row>
    <row r="51" spans="1:11" s="1" customFormat="1" ht="12.75">
      <c r="A51" s="4"/>
      <c r="B51" s="225" t="s">
        <v>68</v>
      </c>
      <c r="C51" s="116">
        <v>9</v>
      </c>
      <c r="D51" s="12">
        <f t="shared" si="0"/>
        <v>0.7010437762891416</v>
      </c>
      <c r="E51" s="32">
        <f t="shared" si="1"/>
        <v>0.28319697923222154</v>
      </c>
      <c r="F51" s="86">
        <v>101</v>
      </c>
      <c r="G51" s="12">
        <f t="shared" si="2"/>
        <v>1.3578553951224759</v>
      </c>
      <c r="H51" s="32">
        <f t="shared" si="3"/>
        <v>0.667989417989418</v>
      </c>
      <c r="I51" s="132">
        <f t="shared" si="4"/>
        <v>110</v>
      </c>
      <c r="J51" s="12">
        <f t="shared" si="5"/>
        <v>1.2611786287548727</v>
      </c>
      <c r="K51" s="13">
        <f t="shared" si="6"/>
        <v>0.6011585965679309</v>
      </c>
    </row>
    <row r="52" spans="1:11" s="1" customFormat="1" ht="12.75">
      <c r="A52" s="4"/>
      <c r="B52" s="225" t="s">
        <v>72</v>
      </c>
      <c r="C52" s="116"/>
      <c r="D52" s="12">
        <f t="shared" si="0"/>
        <v>0</v>
      </c>
      <c r="E52" s="32">
        <f t="shared" si="1"/>
        <v>0</v>
      </c>
      <c r="F52" s="86">
        <v>37</v>
      </c>
      <c r="G52" s="12">
        <f t="shared" si="2"/>
        <v>0.497432174450808</v>
      </c>
      <c r="H52" s="32">
        <f t="shared" si="3"/>
        <v>0.2447089947089947</v>
      </c>
      <c r="I52" s="132">
        <f t="shared" si="4"/>
        <v>37</v>
      </c>
      <c r="J52" s="12">
        <f t="shared" si="5"/>
        <v>0.42421462967209356</v>
      </c>
      <c r="K52" s="13">
        <f t="shared" si="6"/>
        <v>0.2022078915728495</v>
      </c>
    </row>
    <row r="53" spans="1:11" s="1" customFormat="1" ht="12.75">
      <c r="A53" s="4"/>
      <c r="B53" s="225" t="s">
        <v>69</v>
      </c>
      <c r="C53" s="116">
        <v>101</v>
      </c>
      <c r="D53" s="12">
        <f t="shared" si="0"/>
        <v>7.8672690450225895</v>
      </c>
      <c r="E53" s="32">
        <f t="shared" si="1"/>
        <v>3.1780994336060417</v>
      </c>
      <c r="F53" s="86">
        <v>393</v>
      </c>
      <c r="G53" s="12">
        <f t="shared" si="2"/>
        <v>5.283536339436961</v>
      </c>
      <c r="H53" s="32">
        <f t="shared" si="3"/>
        <v>2.5992063492063493</v>
      </c>
      <c r="I53" s="132">
        <f t="shared" si="4"/>
        <v>494</v>
      </c>
      <c r="J53" s="12">
        <f t="shared" si="5"/>
        <v>5.663838569135519</v>
      </c>
      <c r="K53" s="13">
        <f t="shared" si="6"/>
        <v>2.6997486064050715</v>
      </c>
    </row>
    <row r="54" spans="1:11" s="1" customFormat="1" ht="12.75">
      <c r="A54" s="4"/>
      <c r="B54" s="225" t="s">
        <v>73</v>
      </c>
      <c r="C54" s="116">
        <v>92</v>
      </c>
      <c r="D54" s="12">
        <f t="shared" si="0"/>
        <v>7.166225268733448</v>
      </c>
      <c r="E54" s="32">
        <f t="shared" si="1"/>
        <v>2.89490245437382</v>
      </c>
      <c r="F54" s="86">
        <v>246</v>
      </c>
      <c r="G54" s="12">
        <f t="shared" si="2"/>
        <v>3.3072517544567233</v>
      </c>
      <c r="H54" s="32">
        <f t="shared" si="3"/>
        <v>1.626984126984127</v>
      </c>
      <c r="I54" s="132">
        <f t="shared" si="4"/>
        <v>338</v>
      </c>
      <c r="J54" s="12">
        <f t="shared" si="5"/>
        <v>3.8752579683558817</v>
      </c>
      <c r="K54" s="13">
        <f t="shared" si="6"/>
        <v>1.8471964149087332</v>
      </c>
    </row>
    <row r="55" spans="1:11" s="1" customFormat="1" ht="12.75">
      <c r="A55" s="4"/>
      <c r="B55" s="225" t="s">
        <v>70</v>
      </c>
      <c r="C55" s="116">
        <v>19</v>
      </c>
      <c r="D55" s="12">
        <f t="shared" si="0"/>
        <v>1.479981305499299</v>
      </c>
      <c r="E55" s="32">
        <f t="shared" si="1"/>
        <v>0.5978602894902454</v>
      </c>
      <c r="F55" s="86">
        <v>453</v>
      </c>
      <c r="G55" s="12">
        <f t="shared" si="2"/>
        <v>6.09018310881665</v>
      </c>
      <c r="H55" s="32">
        <f t="shared" si="3"/>
        <v>2.996031746031746</v>
      </c>
      <c r="I55" s="132">
        <f t="shared" si="4"/>
        <v>472</v>
      </c>
      <c r="J55" s="12">
        <f t="shared" si="5"/>
        <v>5.411602843384545</v>
      </c>
      <c r="K55" s="13">
        <f t="shared" si="6"/>
        <v>2.5795168870914855</v>
      </c>
    </row>
    <row r="56" spans="1:11" s="1" customFormat="1" ht="12.75">
      <c r="A56" s="4"/>
      <c r="B56" s="225" t="s">
        <v>74</v>
      </c>
      <c r="C56" s="116">
        <v>14</v>
      </c>
      <c r="D56" s="12">
        <f t="shared" si="0"/>
        <v>1.0905125408942202</v>
      </c>
      <c r="E56" s="32">
        <f t="shared" si="1"/>
        <v>0.44052863436123346</v>
      </c>
      <c r="F56" s="86">
        <v>420</v>
      </c>
      <c r="G56" s="12">
        <f t="shared" si="2"/>
        <v>5.64652738565782</v>
      </c>
      <c r="H56" s="32">
        <f t="shared" si="3"/>
        <v>2.7777777777777777</v>
      </c>
      <c r="I56" s="132">
        <f t="shared" si="4"/>
        <v>434</v>
      </c>
      <c r="J56" s="12">
        <f t="shared" si="5"/>
        <v>4.975922953451043</v>
      </c>
      <c r="K56" s="13">
        <f t="shared" si="6"/>
        <v>2.3718439173680186</v>
      </c>
    </row>
    <row r="57" spans="1:11" s="1" customFormat="1" ht="13.5" thickBot="1">
      <c r="A57" s="4"/>
      <c r="B57" s="225" t="s">
        <v>33</v>
      </c>
      <c r="C57" s="123">
        <v>45</v>
      </c>
      <c r="D57" s="12">
        <f t="shared" si="0"/>
        <v>3.505218881445708</v>
      </c>
      <c r="E57" s="32">
        <f>C57*100/C$58</f>
        <v>1.4159848961611077</v>
      </c>
      <c r="F57" s="88">
        <v>52</v>
      </c>
      <c r="G57" s="12">
        <f t="shared" si="2"/>
        <v>0.6990938667957302</v>
      </c>
      <c r="H57" s="32">
        <f>F57*100/F$58</f>
        <v>0.3439153439153439</v>
      </c>
      <c r="I57" s="132">
        <f t="shared" si="4"/>
        <v>97</v>
      </c>
      <c r="J57" s="12">
        <f t="shared" si="5"/>
        <v>1.1121302453565696</v>
      </c>
      <c r="K57" s="13">
        <f t="shared" si="6"/>
        <v>0.5301125806099027</v>
      </c>
    </row>
    <row r="58" spans="1:11" s="6" customFormat="1" ht="18.75" customHeight="1" thickBot="1">
      <c r="A58" s="111"/>
      <c r="B58" s="112" t="s">
        <v>22</v>
      </c>
      <c r="C58" s="148">
        <f>C48+C47+C46+C43+C38+C34+C33+C32+C27+C22+C18+C17+C16+C14+C13+C11+C10+C8+C5</f>
        <v>3178</v>
      </c>
      <c r="D58" s="214">
        <f t="shared" si="0"/>
        <v>247.546346782988</v>
      </c>
      <c r="E58" s="95"/>
      <c r="F58" s="145">
        <f>F48+F47+F46+F43+F38+F34+F33+F32+F27+F22+F18+F17+F16+F14+F13+F11+F10+F8+F5</f>
        <v>15120</v>
      </c>
      <c r="G58" s="214">
        <f t="shared" si="2"/>
        <v>203.27498588368152</v>
      </c>
      <c r="H58" s="95"/>
      <c r="I58" s="145">
        <f>I48+I47+I46+I43+I38+I34+I33+I32+I27+I22+I18+I17+I16+I14+I13+I11+I10+I8+I5</f>
        <v>18298</v>
      </c>
      <c r="J58" s="214">
        <f t="shared" si="5"/>
        <v>209.79133226324237</v>
      </c>
      <c r="K58" s="97"/>
    </row>
    <row r="59" spans="1:11" s="6" customFormat="1" ht="22.5" customHeight="1">
      <c r="A59" s="15"/>
      <c r="B59" s="235" t="s">
        <v>83</v>
      </c>
      <c r="C59" s="235"/>
      <c r="D59" s="235"/>
      <c r="E59" s="235"/>
      <c r="F59" s="235"/>
      <c r="G59" s="235"/>
      <c r="H59" s="235"/>
      <c r="I59" s="243" t="s">
        <v>82</v>
      </c>
      <c r="J59" s="243"/>
      <c r="K59" s="243"/>
    </row>
  </sheetData>
  <sheetProtection/>
  <mergeCells count="5">
    <mergeCell ref="B59:H59"/>
    <mergeCell ref="I59:K59"/>
    <mergeCell ref="A1:K1"/>
    <mergeCell ref="A3:A4"/>
    <mergeCell ref="B3:B4"/>
  </mergeCells>
  <printOptions/>
  <pageMargins left="0.75" right="0.75" top="0.47" bottom="0.77" header="0" footer="0"/>
  <pageSetup horizontalDpi="600" verticalDpi="600" orientation="landscape" paperSize="9" r:id="rId1"/>
  <headerFooter alignWithMargins="0">
    <oddFooter>&amp;L&amp;Z&amp;F - &amp;A&amp;R&amp;P -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F38" sqref="F38"/>
    </sheetView>
  </sheetViews>
  <sheetFormatPr defaultColWidth="9.00390625" defaultRowHeight="12.75"/>
  <cols>
    <col min="1" max="1" width="5.75390625" style="0" customWidth="1"/>
    <col min="2" max="2" width="47.87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11.7539062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6.5" customHeight="1">
      <c r="A1" s="237" t="s">
        <v>98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20.25" customHeight="1" thickBot="1">
      <c r="A2" s="21"/>
      <c r="B2" s="22"/>
      <c r="C2" s="2"/>
      <c r="D2" s="231">
        <v>6562</v>
      </c>
      <c r="E2" s="232"/>
      <c r="F2" s="233"/>
      <c r="G2" s="232">
        <v>36839</v>
      </c>
      <c r="H2" s="232"/>
      <c r="I2" s="233"/>
      <c r="J2" s="234">
        <f>SUM(D2:G2)</f>
        <v>43401</v>
      </c>
      <c r="K2" s="2"/>
    </row>
    <row r="3" spans="1:11" ht="15" customHeight="1">
      <c r="A3" s="246" t="s">
        <v>24</v>
      </c>
      <c r="B3" s="241" t="s">
        <v>5</v>
      </c>
      <c r="C3" s="130" t="s">
        <v>1</v>
      </c>
      <c r="D3" s="129"/>
      <c r="E3" s="129"/>
      <c r="F3" s="130" t="s">
        <v>2</v>
      </c>
      <c r="G3" s="129"/>
      <c r="H3" s="129"/>
      <c r="I3" s="130" t="s">
        <v>3</v>
      </c>
      <c r="J3" s="129"/>
      <c r="K3" s="131"/>
    </row>
    <row r="4" spans="1:11" ht="27.75" customHeight="1" thickBot="1">
      <c r="A4" s="247"/>
      <c r="B4" s="242"/>
      <c r="C4" s="126" t="s">
        <v>6</v>
      </c>
      <c r="D4" s="124" t="s">
        <v>7</v>
      </c>
      <c r="E4" s="125" t="s">
        <v>8</v>
      </c>
      <c r="F4" s="126" t="s">
        <v>6</v>
      </c>
      <c r="G4" s="124" t="s">
        <v>7</v>
      </c>
      <c r="H4" s="125" t="s">
        <v>8</v>
      </c>
      <c r="I4" s="126" t="s">
        <v>6</v>
      </c>
      <c r="J4" s="124" t="s">
        <v>7</v>
      </c>
      <c r="K4" s="127" t="s">
        <v>8</v>
      </c>
    </row>
    <row r="5" spans="1:11" ht="16.5" customHeight="1" thickBot="1">
      <c r="A5" s="105" t="s">
        <v>9</v>
      </c>
      <c r="B5" s="154" t="s">
        <v>26</v>
      </c>
      <c r="C5" s="145">
        <v>223</v>
      </c>
      <c r="D5" s="94">
        <f aca="true" t="shared" si="0" ref="D5:D58">C5*1000/$D$2</f>
        <v>33.98354160316976</v>
      </c>
      <c r="E5" s="95">
        <f aca="true" t="shared" si="1" ref="E5:E56">C5*100/C$58</f>
        <v>17.180277349768875</v>
      </c>
      <c r="F5" s="135">
        <f>71+146</f>
        <v>217</v>
      </c>
      <c r="G5" s="94">
        <f aca="true" t="shared" si="2" ref="G5:G58">F5*1000/$G$2</f>
        <v>5.890496484703711</v>
      </c>
      <c r="H5" s="95">
        <f aca="true" t="shared" si="3" ref="H5:H56">F5*100/F$58</f>
        <v>2.9555979297194224</v>
      </c>
      <c r="I5" s="145">
        <f aca="true" t="shared" si="4" ref="I5:I57">SUM(C5,F5)</f>
        <v>440</v>
      </c>
      <c r="J5" s="94">
        <f aca="true" t="shared" si="5" ref="J5:J58">I5*1000/$J$2</f>
        <v>10.138015253104767</v>
      </c>
      <c r="K5" s="97">
        <f aca="true" t="shared" si="6" ref="K5:K57">I5*100/I$58</f>
        <v>5.092592592592593</v>
      </c>
    </row>
    <row r="6" spans="1:11" s="1" customFormat="1" ht="15.75" customHeight="1">
      <c r="A6" s="4"/>
      <c r="B6" s="40" t="s">
        <v>36</v>
      </c>
      <c r="C6" s="146">
        <v>205</v>
      </c>
      <c r="D6" s="18">
        <f t="shared" si="0"/>
        <v>31.240475464797317</v>
      </c>
      <c r="E6" s="31">
        <f t="shared" si="1"/>
        <v>15.793528505392912</v>
      </c>
      <c r="F6" s="138">
        <f>42+115</f>
        <v>157</v>
      </c>
      <c r="G6" s="18">
        <f t="shared" si="2"/>
        <v>4.26178777925568</v>
      </c>
      <c r="H6" s="31">
        <f t="shared" si="3"/>
        <v>2.138381912285481</v>
      </c>
      <c r="I6" s="138">
        <f t="shared" si="4"/>
        <v>362</v>
      </c>
      <c r="J6" s="18">
        <f t="shared" si="5"/>
        <v>8.340821640054376</v>
      </c>
      <c r="K6" s="19">
        <f t="shared" si="6"/>
        <v>4.189814814814815</v>
      </c>
    </row>
    <row r="7" spans="1:11" s="1" customFormat="1" ht="15.75" customHeight="1" thickBot="1">
      <c r="A7" s="4"/>
      <c r="B7" s="39" t="s">
        <v>37</v>
      </c>
      <c r="C7" s="147"/>
      <c r="D7" s="12">
        <f t="shared" si="0"/>
        <v>0</v>
      </c>
      <c r="E7" s="32">
        <f t="shared" si="1"/>
        <v>0</v>
      </c>
      <c r="F7" s="133"/>
      <c r="G7" s="14">
        <f t="shared" si="2"/>
        <v>0</v>
      </c>
      <c r="H7" s="35">
        <f t="shared" si="3"/>
        <v>0</v>
      </c>
      <c r="I7" s="140">
        <f t="shared" si="4"/>
        <v>0</v>
      </c>
      <c r="J7" s="14">
        <f t="shared" si="5"/>
        <v>0</v>
      </c>
      <c r="K7" s="13">
        <f t="shared" si="6"/>
        <v>0</v>
      </c>
    </row>
    <row r="8" spans="1:11" ht="17.25" customHeight="1" thickBot="1">
      <c r="A8" s="105" t="s">
        <v>10</v>
      </c>
      <c r="B8" s="100" t="s">
        <v>38</v>
      </c>
      <c r="C8" s="148"/>
      <c r="D8" s="94">
        <f t="shared" si="0"/>
        <v>0</v>
      </c>
      <c r="E8" s="95">
        <f t="shared" si="1"/>
        <v>0</v>
      </c>
      <c r="F8" s="135">
        <f>63+62</f>
        <v>125</v>
      </c>
      <c r="G8" s="94">
        <f t="shared" si="2"/>
        <v>3.393143136350064</v>
      </c>
      <c r="H8" s="95">
        <f t="shared" si="3"/>
        <v>1.7025333696540452</v>
      </c>
      <c r="I8" s="145">
        <f t="shared" si="4"/>
        <v>125</v>
      </c>
      <c r="J8" s="94">
        <f t="shared" si="5"/>
        <v>2.8801179696320363</v>
      </c>
      <c r="K8" s="97">
        <f t="shared" si="6"/>
        <v>1.4467592592592593</v>
      </c>
    </row>
    <row r="9" spans="1:11" s="1" customFormat="1" ht="18" customHeight="1" thickBot="1">
      <c r="A9" s="166"/>
      <c r="B9" s="40" t="s">
        <v>39</v>
      </c>
      <c r="C9" s="146"/>
      <c r="D9" s="18">
        <f t="shared" si="0"/>
        <v>0</v>
      </c>
      <c r="E9" s="31">
        <f t="shared" si="1"/>
        <v>0</v>
      </c>
      <c r="F9" s="133">
        <f>13+25</f>
        <v>38</v>
      </c>
      <c r="G9" s="18">
        <f t="shared" si="2"/>
        <v>1.0315155134504195</v>
      </c>
      <c r="H9" s="31">
        <f t="shared" si="3"/>
        <v>0.5175701443748297</v>
      </c>
      <c r="I9" s="138">
        <f t="shared" si="4"/>
        <v>38</v>
      </c>
      <c r="J9" s="18">
        <f t="shared" si="5"/>
        <v>0.875555862768139</v>
      </c>
      <c r="K9" s="19">
        <f t="shared" si="6"/>
        <v>0.4398148148148148</v>
      </c>
    </row>
    <row r="10" spans="1:11" s="6" customFormat="1" ht="19.5" customHeight="1" thickBot="1">
      <c r="A10" s="105" t="s">
        <v>11</v>
      </c>
      <c r="B10" s="92" t="s">
        <v>40</v>
      </c>
      <c r="C10" s="148"/>
      <c r="D10" s="94">
        <f t="shared" si="0"/>
        <v>0</v>
      </c>
      <c r="E10" s="95">
        <f t="shared" si="1"/>
        <v>0</v>
      </c>
      <c r="F10" s="135"/>
      <c r="G10" s="94">
        <f t="shared" si="2"/>
        <v>0</v>
      </c>
      <c r="H10" s="95">
        <f t="shared" si="3"/>
        <v>0</v>
      </c>
      <c r="I10" s="145">
        <f t="shared" si="4"/>
        <v>0</v>
      </c>
      <c r="J10" s="94">
        <f t="shared" si="5"/>
        <v>0</v>
      </c>
      <c r="K10" s="97">
        <f t="shared" si="6"/>
        <v>0</v>
      </c>
    </row>
    <row r="11" spans="1:11" s="6" customFormat="1" ht="30" customHeight="1" thickBot="1">
      <c r="A11" s="99" t="s">
        <v>12</v>
      </c>
      <c r="B11" s="92" t="s">
        <v>41</v>
      </c>
      <c r="C11" s="148">
        <v>1</v>
      </c>
      <c r="D11" s="94">
        <f t="shared" si="0"/>
        <v>0.15239256324291375</v>
      </c>
      <c r="E11" s="95">
        <f t="shared" si="1"/>
        <v>0.07704160246533127</v>
      </c>
      <c r="F11" s="135">
        <f>288+1+243+3</f>
        <v>535</v>
      </c>
      <c r="G11" s="94">
        <f t="shared" si="2"/>
        <v>14.522652623578272</v>
      </c>
      <c r="H11" s="95">
        <f t="shared" si="3"/>
        <v>7.286842822119313</v>
      </c>
      <c r="I11" s="145">
        <f t="shared" si="4"/>
        <v>536</v>
      </c>
      <c r="J11" s="94">
        <f t="shared" si="5"/>
        <v>12.34994585378217</v>
      </c>
      <c r="K11" s="97">
        <f t="shared" si="6"/>
        <v>6.203703703703703</v>
      </c>
    </row>
    <row r="12" spans="1:11" s="6" customFormat="1" ht="16.5" customHeight="1" thickBot="1">
      <c r="A12" s="17"/>
      <c r="B12" s="41" t="s">
        <v>78</v>
      </c>
      <c r="C12" s="149"/>
      <c r="D12" s="29">
        <f t="shared" si="0"/>
        <v>0</v>
      </c>
      <c r="E12" s="34">
        <f t="shared" si="1"/>
        <v>0</v>
      </c>
      <c r="F12" s="133">
        <f>243+3+283+1</f>
        <v>530</v>
      </c>
      <c r="G12" s="29">
        <f t="shared" si="2"/>
        <v>14.38692689812427</v>
      </c>
      <c r="H12" s="34">
        <f t="shared" si="3"/>
        <v>7.218741487333152</v>
      </c>
      <c r="I12" s="133">
        <f t="shared" si="4"/>
        <v>530</v>
      </c>
      <c r="J12" s="29">
        <f t="shared" si="5"/>
        <v>12.211700191239833</v>
      </c>
      <c r="K12" s="30">
        <f t="shared" si="6"/>
        <v>6.1342592592592595</v>
      </c>
    </row>
    <row r="13" spans="1:11" s="6" customFormat="1" ht="18.75" customHeight="1" thickBot="1">
      <c r="A13" s="99" t="s">
        <v>13</v>
      </c>
      <c r="B13" s="100" t="s">
        <v>42</v>
      </c>
      <c r="C13" s="148"/>
      <c r="D13" s="94">
        <f t="shared" si="0"/>
        <v>0</v>
      </c>
      <c r="E13" s="95">
        <f t="shared" si="1"/>
        <v>0</v>
      </c>
      <c r="F13" s="135"/>
      <c r="G13" s="94">
        <f t="shared" si="2"/>
        <v>0</v>
      </c>
      <c r="H13" s="95">
        <f t="shared" si="3"/>
        <v>0</v>
      </c>
      <c r="I13" s="145">
        <f t="shared" si="4"/>
        <v>0</v>
      </c>
      <c r="J13" s="94">
        <f t="shared" si="5"/>
        <v>0</v>
      </c>
      <c r="K13" s="97">
        <f t="shared" si="6"/>
        <v>0</v>
      </c>
    </row>
    <row r="14" spans="1:11" s="6" customFormat="1" ht="15.75" customHeight="1" thickBot="1">
      <c r="A14" s="99" t="s">
        <v>14</v>
      </c>
      <c r="B14" s="92" t="s">
        <v>43</v>
      </c>
      <c r="C14" s="148"/>
      <c r="D14" s="94">
        <f t="shared" si="0"/>
        <v>0</v>
      </c>
      <c r="E14" s="95">
        <f t="shared" si="1"/>
        <v>0</v>
      </c>
      <c r="F14" s="135">
        <f>125+134+1</f>
        <v>260</v>
      </c>
      <c r="G14" s="94">
        <f t="shared" si="2"/>
        <v>7.057737723608133</v>
      </c>
      <c r="H14" s="95">
        <f t="shared" si="3"/>
        <v>3.541269408880414</v>
      </c>
      <c r="I14" s="145">
        <f t="shared" si="4"/>
        <v>260</v>
      </c>
      <c r="J14" s="94">
        <f t="shared" si="5"/>
        <v>5.990645376834635</v>
      </c>
      <c r="K14" s="113">
        <f t="shared" si="6"/>
        <v>3.009259259259259</v>
      </c>
    </row>
    <row r="15" spans="1:11" s="1" customFormat="1" ht="18.75" customHeight="1" thickBot="1">
      <c r="A15" s="4"/>
      <c r="B15" s="42" t="s">
        <v>44</v>
      </c>
      <c r="C15" s="150"/>
      <c r="D15" s="14">
        <f t="shared" si="0"/>
        <v>0</v>
      </c>
      <c r="E15" s="35">
        <f t="shared" si="1"/>
        <v>0</v>
      </c>
      <c r="F15" s="133">
        <f>34+12+1</f>
        <v>47</v>
      </c>
      <c r="G15" s="14">
        <f t="shared" si="2"/>
        <v>1.275821819267624</v>
      </c>
      <c r="H15" s="35">
        <f t="shared" si="3"/>
        <v>0.640152546989921</v>
      </c>
      <c r="I15" s="140">
        <f t="shared" si="4"/>
        <v>47</v>
      </c>
      <c r="J15" s="14">
        <f t="shared" si="5"/>
        <v>1.0829243565816455</v>
      </c>
      <c r="K15" s="20">
        <f t="shared" si="6"/>
        <v>0.5439814814814815</v>
      </c>
    </row>
    <row r="16" spans="1:11" s="1" customFormat="1" ht="16.5" customHeight="1" thickBot="1">
      <c r="A16" s="105" t="s">
        <v>15</v>
      </c>
      <c r="B16" s="100" t="s">
        <v>27</v>
      </c>
      <c r="C16" s="151">
        <v>2</v>
      </c>
      <c r="D16" s="107">
        <f t="shared" si="0"/>
        <v>0.3047851264858275</v>
      </c>
      <c r="E16" s="108">
        <f t="shared" si="1"/>
        <v>0.15408320493066255</v>
      </c>
      <c r="F16" s="135">
        <f>209+68</f>
        <v>277</v>
      </c>
      <c r="G16" s="107">
        <f t="shared" si="2"/>
        <v>7.519205190151741</v>
      </c>
      <c r="H16" s="108">
        <f t="shared" si="3"/>
        <v>3.7728139471533644</v>
      </c>
      <c r="I16" s="135">
        <f t="shared" si="4"/>
        <v>279</v>
      </c>
      <c r="J16" s="107">
        <f t="shared" si="5"/>
        <v>6.428423308218704</v>
      </c>
      <c r="K16" s="109">
        <f t="shared" si="6"/>
        <v>3.2291666666666665</v>
      </c>
    </row>
    <row r="17" spans="1:11" s="6" customFormat="1" ht="18" customHeight="1" thickBot="1">
      <c r="A17" s="110" t="s">
        <v>16</v>
      </c>
      <c r="B17" s="92" t="s">
        <v>45</v>
      </c>
      <c r="C17" s="148">
        <v>6</v>
      </c>
      <c r="D17" s="94">
        <f t="shared" si="0"/>
        <v>0.9143553794574825</v>
      </c>
      <c r="E17" s="95">
        <f t="shared" si="1"/>
        <v>0.4622496147919877</v>
      </c>
      <c r="F17" s="135">
        <f>228+156+2</f>
        <v>386</v>
      </c>
      <c r="G17" s="94">
        <f t="shared" si="2"/>
        <v>10.478026005048998</v>
      </c>
      <c r="H17" s="95">
        <f t="shared" si="3"/>
        <v>5.2574230454916915</v>
      </c>
      <c r="I17" s="145">
        <f t="shared" si="4"/>
        <v>392</v>
      </c>
      <c r="J17" s="94">
        <f t="shared" si="5"/>
        <v>9.032049952766066</v>
      </c>
      <c r="K17" s="97">
        <f t="shared" si="6"/>
        <v>4.537037037037037</v>
      </c>
    </row>
    <row r="18" spans="1:11" s="6" customFormat="1" ht="18" customHeight="1" thickBot="1">
      <c r="A18" s="99" t="s">
        <v>17</v>
      </c>
      <c r="B18" s="156" t="s">
        <v>46</v>
      </c>
      <c r="C18" s="148"/>
      <c r="D18" s="94">
        <f t="shared" si="0"/>
        <v>0</v>
      </c>
      <c r="E18" s="95">
        <f t="shared" si="1"/>
        <v>0</v>
      </c>
      <c r="F18" s="135">
        <f>901+68+393+11</f>
        <v>1373</v>
      </c>
      <c r="G18" s="94">
        <f t="shared" si="2"/>
        <v>37.2702842096691</v>
      </c>
      <c r="H18" s="95">
        <f t="shared" si="3"/>
        <v>18.700626532280033</v>
      </c>
      <c r="I18" s="145">
        <f t="shared" si="4"/>
        <v>1373</v>
      </c>
      <c r="J18" s="94">
        <f t="shared" si="5"/>
        <v>31.635215778438283</v>
      </c>
      <c r="K18" s="97">
        <f t="shared" si="6"/>
        <v>15.891203703703704</v>
      </c>
    </row>
    <row r="19" spans="1:11" s="1" customFormat="1" ht="16.5" customHeight="1">
      <c r="A19" s="4"/>
      <c r="B19" s="38" t="s">
        <v>47</v>
      </c>
      <c r="C19" s="146"/>
      <c r="D19" s="18">
        <f t="shared" si="0"/>
        <v>0</v>
      </c>
      <c r="E19" s="31">
        <f t="shared" si="1"/>
        <v>0</v>
      </c>
      <c r="F19" s="138"/>
      <c r="G19" s="18">
        <f t="shared" si="2"/>
        <v>0</v>
      </c>
      <c r="H19" s="31">
        <f t="shared" si="3"/>
        <v>0</v>
      </c>
      <c r="I19" s="138">
        <f t="shared" si="4"/>
        <v>0</v>
      </c>
      <c r="J19" s="18">
        <f t="shared" si="5"/>
        <v>0</v>
      </c>
      <c r="K19" s="19">
        <f t="shared" si="6"/>
        <v>0</v>
      </c>
    </row>
    <row r="20" spans="1:11" s="1" customFormat="1" ht="14.25" customHeight="1">
      <c r="A20" s="4"/>
      <c r="B20" s="38" t="s">
        <v>48</v>
      </c>
      <c r="C20" s="132"/>
      <c r="D20" s="12">
        <f t="shared" si="0"/>
        <v>0</v>
      </c>
      <c r="E20" s="32">
        <f t="shared" si="1"/>
        <v>0</v>
      </c>
      <c r="F20" s="132">
        <f>13+25</f>
        <v>38</v>
      </c>
      <c r="G20" s="12">
        <f t="shared" si="2"/>
        <v>1.0315155134504195</v>
      </c>
      <c r="H20" s="32">
        <f t="shared" si="3"/>
        <v>0.5175701443748297</v>
      </c>
      <c r="I20" s="132">
        <f t="shared" si="4"/>
        <v>38</v>
      </c>
      <c r="J20" s="12">
        <f t="shared" si="5"/>
        <v>0.875555862768139</v>
      </c>
      <c r="K20" s="13">
        <f t="shared" si="6"/>
        <v>0.4398148148148148</v>
      </c>
    </row>
    <row r="21" spans="1:11" s="1" customFormat="1" ht="13.5" thickBot="1">
      <c r="A21" s="4"/>
      <c r="B21" s="38" t="s">
        <v>49</v>
      </c>
      <c r="C21" s="132"/>
      <c r="D21" s="12">
        <f t="shared" si="0"/>
        <v>0</v>
      </c>
      <c r="E21" s="32">
        <f t="shared" si="1"/>
        <v>0</v>
      </c>
      <c r="F21" s="133">
        <f>84+7+261+53</f>
        <v>405</v>
      </c>
      <c r="G21" s="12">
        <f t="shared" si="2"/>
        <v>10.993783761774207</v>
      </c>
      <c r="H21" s="32">
        <f t="shared" si="3"/>
        <v>5.516208117679106</v>
      </c>
      <c r="I21" s="132">
        <f t="shared" si="4"/>
        <v>405</v>
      </c>
      <c r="J21" s="12">
        <f t="shared" si="5"/>
        <v>9.331582221607798</v>
      </c>
      <c r="K21" s="13">
        <f t="shared" si="6"/>
        <v>4.6875</v>
      </c>
    </row>
    <row r="22" spans="1:11" s="6" customFormat="1" ht="15.75" customHeight="1" thickBot="1">
      <c r="A22" s="99" t="s">
        <v>28</v>
      </c>
      <c r="B22" s="92" t="s">
        <v>50</v>
      </c>
      <c r="C22" s="148">
        <v>715</v>
      </c>
      <c r="D22" s="94">
        <f t="shared" si="0"/>
        <v>108.96068271868333</v>
      </c>
      <c r="E22" s="95">
        <f t="shared" si="1"/>
        <v>55.08474576271186</v>
      </c>
      <c r="F22" s="135">
        <f>491+10+613+2</f>
        <v>1116</v>
      </c>
      <c r="G22" s="94">
        <f t="shared" si="2"/>
        <v>30.29398192133337</v>
      </c>
      <c r="H22" s="95">
        <f t="shared" si="3"/>
        <v>15.200217924271316</v>
      </c>
      <c r="I22" s="145">
        <f t="shared" si="4"/>
        <v>1831</v>
      </c>
      <c r="J22" s="94">
        <f t="shared" si="5"/>
        <v>42.187968019170064</v>
      </c>
      <c r="K22" s="97">
        <f t="shared" si="6"/>
        <v>21.19212962962963</v>
      </c>
    </row>
    <row r="23" spans="1:11" s="1" customFormat="1" ht="15.75" customHeight="1">
      <c r="A23" s="4"/>
      <c r="B23" s="40" t="s">
        <v>51</v>
      </c>
      <c r="C23" s="146">
        <v>14</v>
      </c>
      <c r="D23" s="18">
        <f t="shared" si="0"/>
        <v>2.1334958854007926</v>
      </c>
      <c r="E23" s="31">
        <f t="shared" si="1"/>
        <v>1.078582434514638</v>
      </c>
      <c r="F23" s="138">
        <v>16</v>
      </c>
      <c r="G23" s="18">
        <f t="shared" si="2"/>
        <v>0.4343223214528082</v>
      </c>
      <c r="H23" s="31">
        <f t="shared" si="3"/>
        <v>0.2179242713157178</v>
      </c>
      <c r="I23" s="138">
        <f t="shared" si="4"/>
        <v>30</v>
      </c>
      <c r="J23" s="18">
        <f t="shared" si="5"/>
        <v>0.6912283127116887</v>
      </c>
      <c r="K23" s="19">
        <f t="shared" si="6"/>
        <v>0.3472222222222222</v>
      </c>
    </row>
    <row r="24" spans="1:11" s="1" customFormat="1" ht="14.25" customHeight="1">
      <c r="A24" s="4"/>
      <c r="B24" s="38" t="s">
        <v>52</v>
      </c>
      <c r="C24" s="147">
        <v>478</v>
      </c>
      <c r="D24" s="12">
        <f t="shared" si="0"/>
        <v>72.84364523011277</v>
      </c>
      <c r="E24" s="32">
        <f t="shared" si="1"/>
        <v>36.82588597842835</v>
      </c>
      <c r="F24" s="132">
        <f>338+1+265+6</f>
        <v>610</v>
      </c>
      <c r="G24" s="12">
        <f t="shared" si="2"/>
        <v>16.558538505388313</v>
      </c>
      <c r="H24" s="32">
        <f t="shared" si="3"/>
        <v>8.308362843911741</v>
      </c>
      <c r="I24" s="132">
        <f t="shared" si="4"/>
        <v>1088</v>
      </c>
      <c r="J24" s="12">
        <f t="shared" si="5"/>
        <v>25.068546807677244</v>
      </c>
      <c r="K24" s="13">
        <f t="shared" si="6"/>
        <v>12.592592592592593</v>
      </c>
    </row>
    <row r="25" spans="1:11" s="1" customFormat="1" ht="15.75" customHeight="1">
      <c r="A25" s="4"/>
      <c r="B25" s="38" t="s">
        <v>85</v>
      </c>
      <c r="C25" s="147"/>
      <c r="D25" s="12">
        <f t="shared" si="0"/>
        <v>0</v>
      </c>
      <c r="E25" s="32">
        <f t="shared" si="1"/>
        <v>0</v>
      </c>
      <c r="F25" s="132">
        <f>49+29</f>
        <v>78</v>
      </c>
      <c r="G25" s="12">
        <f t="shared" si="2"/>
        <v>2.11732131708244</v>
      </c>
      <c r="H25" s="32">
        <f t="shared" si="3"/>
        <v>1.0623808226641243</v>
      </c>
      <c r="I25" s="132">
        <f t="shared" si="4"/>
        <v>78</v>
      </c>
      <c r="J25" s="12">
        <f t="shared" si="5"/>
        <v>1.7971936130503905</v>
      </c>
      <c r="K25" s="13">
        <f t="shared" si="6"/>
        <v>0.9027777777777778</v>
      </c>
    </row>
    <row r="26" spans="1:11" s="1" customFormat="1" ht="13.5" thickBot="1">
      <c r="A26" s="4"/>
      <c r="B26" s="38" t="s">
        <v>86</v>
      </c>
      <c r="C26" s="147">
        <v>6</v>
      </c>
      <c r="D26" s="12">
        <f t="shared" si="0"/>
        <v>0.9143553794574825</v>
      </c>
      <c r="E26" s="32">
        <f t="shared" si="1"/>
        <v>0.4622496147919877</v>
      </c>
      <c r="F26" s="133">
        <v>27</v>
      </c>
      <c r="G26" s="12">
        <f t="shared" si="2"/>
        <v>0.7329189174516137</v>
      </c>
      <c r="H26" s="32">
        <f t="shared" si="3"/>
        <v>0.36774720784527376</v>
      </c>
      <c r="I26" s="132">
        <f t="shared" si="4"/>
        <v>33</v>
      </c>
      <c r="J26" s="12">
        <f t="shared" si="5"/>
        <v>0.7603511439828575</v>
      </c>
      <c r="K26" s="13">
        <f t="shared" si="6"/>
        <v>0.3819444444444444</v>
      </c>
    </row>
    <row r="27" spans="1:11" s="6" customFormat="1" ht="14.25" customHeight="1" thickBot="1">
      <c r="A27" s="99" t="s">
        <v>18</v>
      </c>
      <c r="B27" s="92" t="s">
        <v>53</v>
      </c>
      <c r="C27" s="148">
        <v>26</v>
      </c>
      <c r="D27" s="94">
        <f t="shared" si="0"/>
        <v>3.9622066443157573</v>
      </c>
      <c r="E27" s="95">
        <f t="shared" si="1"/>
        <v>2.0030816640986133</v>
      </c>
      <c r="F27" s="135">
        <f>334+12+332+9</f>
        <v>687</v>
      </c>
      <c r="G27" s="94">
        <f t="shared" si="2"/>
        <v>18.64871467737995</v>
      </c>
      <c r="H27" s="95">
        <f t="shared" si="3"/>
        <v>9.357123399618633</v>
      </c>
      <c r="I27" s="145">
        <f t="shared" si="4"/>
        <v>713</v>
      </c>
      <c r="J27" s="94">
        <f t="shared" si="5"/>
        <v>16.428192898781134</v>
      </c>
      <c r="K27" s="97">
        <f t="shared" si="6"/>
        <v>8.252314814814815</v>
      </c>
    </row>
    <row r="28" spans="1:11" s="1" customFormat="1" ht="12.75">
      <c r="A28" s="4"/>
      <c r="B28" s="40" t="s">
        <v>54</v>
      </c>
      <c r="C28" s="146"/>
      <c r="D28" s="18">
        <f t="shared" si="0"/>
        <v>0</v>
      </c>
      <c r="E28" s="31">
        <f t="shared" si="1"/>
        <v>0</v>
      </c>
      <c r="F28" s="138">
        <f>20+2+18+1</f>
        <v>41</v>
      </c>
      <c r="G28" s="18">
        <f>F28*1000/$G$2</f>
        <v>1.1129509487228209</v>
      </c>
      <c r="H28" s="31">
        <f t="shared" si="3"/>
        <v>0.5584309452465268</v>
      </c>
      <c r="I28" s="138">
        <f t="shared" si="4"/>
        <v>41</v>
      </c>
      <c r="J28" s="18">
        <f t="shared" si="5"/>
        <v>0.9446786940393078</v>
      </c>
      <c r="K28" s="19">
        <f t="shared" si="6"/>
        <v>0.47453703703703703</v>
      </c>
    </row>
    <row r="29" spans="1:11" s="1" customFormat="1" ht="13.5" customHeight="1">
      <c r="A29" s="4"/>
      <c r="B29" s="38" t="s">
        <v>55</v>
      </c>
      <c r="C29" s="147">
        <v>24</v>
      </c>
      <c r="D29" s="12">
        <f t="shared" si="0"/>
        <v>3.65742151782993</v>
      </c>
      <c r="E29" s="32">
        <f t="shared" si="1"/>
        <v>1.8489984591679507</v>
      </c>
      <c r="F29" s="228">
        <f>4+17</f>
        <v>21</v>
      </c>
      <c r="G29" s="12">
        <f t="shared" si="2"/>
        <v>0.5700480469068108</v>
      </c>
      <c r="H29" s="32">
        <f t="shared" si="3"/>
        <v>0.2860256061018796</v>
      </c>
      <c r="I29" s="132">
        <f t="shared" si="4"/>
        <v>45</v>
      </c>
      <c r="J29" s="12">
        <f t="shared" si="5"/>
        <v>1.036842469067533</v>
      </c>
      <c r="K29" s="13">
        <f t="shared" si="6"/>
        <v>0.5208333333333334</v>
      </c>
    </row>
    <row r="30" spans="1:11" s="1" customFormat="1" ht="12.75">
      <c r="A30" s="4"/>
      <c r="B30" s="38" t="s">
        <v>56</v>
      </c>
      <c r="C30" s="147"/>
      <c r="D30" s="12">
        <f t="shared" si="0"/>
        <v>0</v>
      </c>
      <c r="E30" s="32">
        <f t="shared" si="1"/>
        <v>0</v>
      </c>
      <c r="F30" s="139">
        <v>61</v>
      </c>
      <c r="G30" s="12">
        <f t="shared" si="2"/>
        <v>1.6558538505388312</v>
      </c>
      <c r="H30" s="32">
        <f t="shared" si="3"/>
        <v>0.8308362843911741</v>
      </c>
      <c r="I30" s="132">
        <f t="shared" si="4"/>
        <v>61</v>
      </c>
      <c r="J30" s="12">
        <f t="shared" si="5"/>
        <v>1.4054975691804337</v>
      </c>
      <c r="K30" s="13">
        <f t="shared" si="6"/>
        <v>0.7060185185185185</v>
      </c>
    </row>
    <row r="31" spans="1:11" s="1" customFormat="1" ht="16.5" customHeight="1" thickBot="1">
      <c r="A31" s="5"/>
      <c r="B31" s="38" t="s">
        <v>57</v>
      </c>
      <c r="C31" s="147"/>
      <c r="D31" s="12">
        <f t="shared" si="0"/>
        <v>0</v>
      </c>
      <c r="E31" s="32">
        <f t="shared" si="1"/>
        <v>0</v>
      </c>
      <c r="F31" s="136">
        <f>68+69+1+41+3</f>
        <v>182</v>
      </c>
      <c r="G31" s="12">
        <f t="shared" si="2"/>
        <v>4.940416406525693</v>
      </c>
      <c r="H31" s="32">
        <f t="shared" si="3"/>
        <v>2.4788885862162897</v>
      </c>
      <c r="I31" s="132">
        <f t="shared" si="4"/>
        <v>182</v>
      </c>
      <c r="J31" s="12">
        <f t="shared" si="5"/>
        <v>4.193451763784244</v>
      </c>
      <c r="K31" s="13">
        <f t="shared" si="6"/>
        <v>2.1064814814814814</v>
      </c>
    </row>
    <row r="32" spans="1:11" s="1" customFormat="1" ht="16.5" customHeight="1" thickBot="1">
      <c r="A32" s="99" t="s">
        <v>75</v>
      </c>
      <c r="B32" s="92" t="s">
        <v>61</v>
      </c>
      <c r="C32" s="148">
        <v>1</v>
      </c>
      <c r="D32" s="94">
        <f t="shared" si="0"/>
        <v>0.15239256324291375</v>
      </c>
      <c r="E32" s="95">
        <f t="shared" si="1"/>
        <v>0.07704160246533127</v>
      </c>
      <c r="F32" s="135">
        <f>45+50+1</f>
        <v>96</v>
      </c>
      <c r="G32" s="94">
        <f>F32*1000/$G$2</f>
        <v>2.605933928716849</v>
      </c>
      <c r="H32" s="95">
        <f t="shared" si="3"/>
        <v>1.3075456278943067</v>
      </c>
      <c r="I32" s="145">
        <f>SUM(C32,F32)</f>
        <v>97</v>
      </c>
      <c r="J32" s="94">
        <f>I32*1000/$J$2</f>
        <v>2.23497154443446</v>
      </c>
      <c r="K32" s="97">
        <f t="shared" si="6"/>
        <v>1.1226851851851851</v>
      </c>
    </row>
    <row r="33" spans="1:11" s="1" customFormat="1" ht="28.5" customHeight="1" thickBot="1">
      <c r="A33" s="99" t="s">
        <v>76</v>
      </c>
      <c r="B33" s="92" t="s">
        <v>62</v>
      </c>
      <c r="C33" s="148"/>
      <c r="D33" s="94">
        <f t="shared" si="0"/>
        <v>0</v>
      </c>
      <c r="E33" s="95">
        <f t="shared" si="1"/>
        <v>0</v>
      </c>
      <c r="F33" s="135">
        <f>175+240</f>
        <v>415</v>
      </c>
      <c r="G33" s="94">
        <f>F33*1000/$G$2</f>
        <v>11.265235212682212</v>
      </c>
      <c r="H33" s="95">
        <f t="shared" si="3"/>
        <v>5.65241078725143</v>
      </c>
      <c r="I33" s="145">
        <f>SUM(C33,F33)</f>
        <v>415</v>
      </c>
      <c r="J33" s="94">
        <f>I33*1000/$J$2</f>
        <v>9.56199165917836</v>
      </c>
      <c r="K33" s="97">
        <f t="shared" si="6"/>
        <v>4.8032407407407405</v>
      </c>
    </row>
    <row r="34" spans="1:11" s="6" customFormat="1" ht="21" customHeight="1" thickBot="1">
      <c r="A34" s="99" t="s">
        <v>19</v>
      </c>
      <c r="B34" s="92" t="s">
        <v>58</v>
      </c>
      <c r="C34" s="148">
        <v>25</v>
      </c>
      <c r="D34" s="94">
        <f t="shared" si="0"/>
        <v>3.809814081072844</v>
      </c>
      <c r="E34" s="95">
        <f t="shared" si="1"/>
        <v>1.926040061633282</v>
      </c>
      <c r="F34" s="135">
        <f>174+1+383+1</f>
        <v>559</v>
      </c>
      <c r="G34" s="94">
        <f t="shared" si="2"/>
        <v>15.174136105757485</v>
      </c>
      <c r="H34" s="95">
        <f t="shared" si="3"/>
        <v>7.613729229092891</v>
      </c>
      <c r="I34" s="145">
        <f t="shared" si="4"/>
        <v>584</v>
      </c>
      <c r="J34" s="94">
        <f t="shared" si="5"/>
        <v>13.455911154120873</v>
      </c>
      <c r="K34" s="97">
        <f t="shared" si="6"/>
        <v>6.7592592592592595</v>
      </c>
    </row>
    <row r="35" spans="1:11" s="1" customFormat="1" ht="12.75">
      <c r="A35" s="4"/>
      <c r="B35" s="40" t="s">
        <v>59</v>
      </c>
      <c r="C35" s="146">
        <v>19</v>
      </c>
      <c r="D35" s="25">
        <f t="shared" si="0"/>
        <v>2.895458701615361</v>
      </c>
      <c r="E35" s="36">
        <f t="shared" si="1"/>
        <v>1.4637904468412943</v>
      </c>
      <c r="F35" s="138">
        <f>281+166+1</f>
        <v>448</v>
      </c>
      <c r="G35" s="25">
        <f t="shared" si="2"/>
        <v>12.16102500067863</v>
      </c>
      <c r="H35" s="36">
        <f t="shared" si="3"/>
        <v>6.1018795968400985</v>
      </c>
      <c r="I35" s="138">
        <f t="shared" si="4"/>
        <v>467</v>
      </c>
      <c r="J35" s="25">
        <f t="shared" si="5"/>
        <v>10.760120734545287</v>
      </c>
      <c r="K35" s="26">
        <f t="shared" si="6"/>
        <v>5.405092592592593</v>
      </c>
    </row>
    <row r="36" spans="1:11" s="1" customFormat="1" ht="14.25" customHeight="1">
      <c r="A36" s="4"/>
      <c r="B36" s="43" t="s">
        <v>31</v>
      </c>
      <c r="C36" s="147">
        <v>17</v>
      </c>
      <c r="D36" s="27">
        <f t="shared" si="0"/>
        <v>2.5906735751295336</v>
      </c>
      <c r="E36" s="37">
        <f t="shared" si="1"/>
        <v>1.3097072419106317</v>
      </c>
      <c r="F36" s="132">
        <f>144+1+199</f>
        <v>344</v>
      </c>
      <c r="G36" s="27">
        <f t="shared" si="2"/>
        <v>9.337929911235376</v>
      </c>
      <c r="H36" s="37">
        <f t="shared" si="3"/>
        <v>4.685371833287933</v>
      </c>
      <c r="I36" s="132">
        <f t="shared" si="4"/>
        <v>361</v>
      </c>
      <c r="J36" s="27">
        <f t="shared" si="5"/>
        <v>8.317780696297321</v>
      </c>
      <c r="K36" s="28">
        <f t="shared" si="6"/>
        <v>4.1782407407407405</v>
      </c>
    </row>
    <row r="37" spans="1:11" s="1" customFormat="1" ht="15" customHeight="1" thickBot="1">
      <c r="A37" s="16"/>
      <c r="B37" s="38" t="s">
        <v>84</v>
      </c>
      <c r="C37" s="147"/>
      <c r="D37" s="27">
        <f t="shared" si="0"/>
        <v>0</v>
      </c>
      <c r="E37" s="37">
        <f t="shared" si="1"/>
        <v>0</v>
      </c>
      <c r="F37" s="140">
        <v>2</v>
      </c>
      <c r="G37" s="27">
        <f t="shared" si="2"/>
        <v>0.054290290181601024</v>
      </c>
      <c r="H37" s="37">
        <f t="shared" si="3"/>
        <v>0.027240533914464723</v>
      </c>
      <c r="I37" s="132">
        <f t="shared" si="4"/>
        <v>2</v>
      </c>
      <c r="J37" s="27">
        <f t="shared" si="5"/>
        <v>0.04608188751411258</v>
      </c>
      <c r="K37" s="28">
        <f t="shared" si="6"/>
        <v>0.023148148148148147</v>
      </c>
    </row>
    <row r="38" spans="1:11" s="6" customFormat="1" ht="24" customHeight="1" thickBot="1">
      <c r="A38" s="99" t="s">
        <v>20</v>
      </c>
      <c r="B38" s="92" t="s">
        <v>32</v>
      </c>
      <c r="C38" s="148">
        <v>41</v>
      </c>
      <c r="D38" s="94">
        <f t="shared" si="0"/>
        <v>6.248095092959463</v>
      </c>
      <c r="E38" s="95">
        <f t="shared" si="1"/>
        <v>3.1587057010785826</v>
      </c>
      <c r="F38" s="135">
        <f>1057</f>
        <v>1057</v>
      </c>
      <c r="G38" s="94">
        <f t="shared" si="2"/>
        <v>28.692418360976138</v>
      </c>
      <c r="H38" s="95">
        <f t="shared" si="3"/>
        <v>14.396622173794606</v>
      </c>
      <c r="I38" s="145">
        <f t="shared" si="4"/>
        <v>1098</v>
      </c>
      <c r="J38" s="94">
        <f t="shared" si="5"/>
        <v>25.298956245247805</v>
      </c>
      <c r="K38" s="113">
        <f t="shared" si="6"/>
        <v>12.708333333333334</v>
      </c>
    </row>
    <row r="39" spans="1:11" s="1" customFormat="1" ht="12.75">
      <c r="A39" s="4"/>
      <c r="B39" s="40" t="s">
        <v>60</v>
      </c>
      <c r="C39" s="146">
        <v>7</v>
      </c>
      <c r="D39" s="18">
        <f t="shared" si="0"/>
        <v>1.0667479427003963</v>
      </c>
      <c r="E39" s="31">
        <f t="shared" si="1"/>
        <v>0.539291217257319</v>
      </c>
      <c r="F39" s="138">
        <v>333</v>
      </c>
      <c r="G39" s="18">
        <f t="shared" si="2"/>
        <v>9.03933331523657</v>
      </c>
      <c r="H39" s="31">
        <f t="shared" si="3"/>
        <v>4.535548896758376</v>
      </c>
      <c r="I39" s="138">
        <f t="shared" si="4"/>
        <v>340</v>
      </c>
      <c r="J39" s="18">
        <f t="shared" si="5"/>
        <v>7.833920877399138</v>
      </c>
      <c r="K39" s="19">
        <f t="shared" si="6"/>
        <v>3.935185185185185</v>
      </c>
    </row>
    <row r="40" spans="1:11" s="1" customFormat="1" ht="12.75">
      <c r="A40" s="4"/>
      <c r="B40" s="38" t="s">
        <v>34</v>
      </c>
      <c r="C40" s="147"/>
      <c r="D40" s="12">
        <f t="shared" si="0"/>
        <v>0</v>
      </c>
      <c r="E40" s="32">
        <f t="shared" si="1"/>
        <v>0</v>
      </c>
      <c r="F40" s="132">
        <v>44</v>
      </c>
      <c r="G40" s="12">
        <f t="shared" si="2"/>
        <v>1.1943863839952225</v>
      </c>
      <c r="H40" s="32">
        <f t="shared" si="3"/>
        <v>0.5992917461182239</v>
      </c>
      <c r="I40" s="132">
        <f t="shared" si="4"/>
        <v>44</v>
      </c>
      <c r="J40" s="12">
        <f t="shared" si="5"/>
        <v>1.0138015253104766</v>
      </c>
      <c r="K40" s="13">
        <f t="shared" si="6"/>
        <v>0.5092592592592593</v>
      </c>
    </row>
    <row r="41" spans="1:11" s="1" customFormat="1" ht="12.75">
      <c r="A41" s="4"/>
      <c r="B41" s="38" t="s">
        <v>25</v>
      </c>
      <c r="C41" s="147"/>
      <c r="D41" s="12">
        <f t="shared" si="0"/>
        <v>0</v>
      </c>
      <c r="E41" s="32">
        <f t="shared" si="1"/>
        <v>0</v>
      </c>
      <c r="F41" s="132"/>
      <c r="G41" s="12">
        <f t="shared" si="2"/>
        <v>0</v>
      </c>
      <c r="H41" s="32">
        <f t="shared" si="3"/>
        <v>0</v>
      </c>
      <c r="I41" s="132">
        <f t="shared" si="4"/>
        <v>0</v>
      </c>
      <c r="J41" s="12">
        <f t="shared" si="5"/>
        <v>0</v>
      </c>
      <c r="K41" s="13">
        <f t="shared" si="6"/>
        <v>0</v>
      </c>
    </row>
    <row r="42" spans="1:11" s="1" customFormat="1" ht="13.5" thickBot="1">
      <c r="A42" s="5"/>
      <c r="B42" s="38" t="s">
        <v>35</v>
      </c>
      <c r="C42" s="147">
        <v>9</v>
      </c>
      <c r="D42" s="12">
        <f t="shared" si="0"/>
        <v>1.3715330691862238</v>
      </c>
      <c r="E42" s="32">
        <f t="shared" si="1"/>
        <v>0.6933744221879815</v>
      </c>
      <c r="F42" s="133">
        <v>212</v>
      </c>
      <c r="G42" s="12">
        <f t="shared" si="2"/>
        <v>5.754770759249708</v>
      </c>
      <c r="H42" s="32">
        <f t="shared" si="3"/>
        <v>2.8874965949332605</v>
      </c>
      <c r="I42" s="132">
        <f t="shared" si="4"/>
        <v>221</v>
      </c>
      <c r="J42" s="12">
        <f t="shared" si="5"/>
        <v>5.09204857030944</v>
      </c>
      <c r="K42" s="13">
        <f t="shared" si="6"/>
        <v>2.5578703703703702</v>
      </c>
    </row>
    <row r="43" spans="1:11" s="6" customFormat="1" ht="28.5" customHeight="1" thickBot="1">
      <c r="A43" s="99" t="s">
        <v>21</v>
      </c>
      <c r="B43" s="92" t="s">
        <v>64</v>
      </c>
      <c r="C43" s="148">
        <v>64</v>
      </c>
      <c r="D43" s="94">
        <f t="shared" si="0"/>
        <v>9.75312404754648</v>
      </c>
      <c r="E43" s="95">
        <f t="shared" si="1"/>
        <v>4.9306625577812015</v>
      </c>
      <c r="F43" s="135"/>
      <c r="G43" s="94">
        <f t="shared" si="2"/>
        <v>0</v>
      </c>
      <c r="H43" s="95">
        <f t="shared" si="3"/>
        <v>0</v>
      </c>
      <c r="I43" s="145">
        <f t="shared" si="4"/>
        <v>64</v>
      </c>
      <c r="J43" s="94">
        <f t="shared" si="5"/>
        <v>1.4746204004516026</v>
      </c>
      <c r="K43" s="113">
        <f t="shared" si="6"/>
        <v>0.7407407407407407</v>
      </c>
    </row>
    <row r="44" spans="1:11" s="1" customFormat="1" ht="27" customHeight="1" thickBot="1">
      <c r="A44" s="9"/>
      <c r="B44" s="161" t="s">
        <v>81</v>
      </c>
      <c r="C44" s="146"/>
      <c r="D44" s="18">
        <f t="shared" si="0"/>
        <v>0</v>
      </c>
      <c r="E44" s="31">
        <f t="shared" si="1"/>
        <v>0</v>
      </c>
      <c r="F44" s="143"/>
      <c r="G44" s="18">
        <f t="shared" si="2"/>
        <v>0</v>
      </c>
      <c r="H44" s="31">
        <f t="shared" si="3"/>
        <v>0</v>
      </c>
      <c r="I44" s="138">
        <f t="shared" si="4"/>
        <v>0</v>
      </c>
      <c r="J44" s="18">
        <f t="shared" si="5"/>
        <v>0</v>
      </c>
      <c r="K44" s="19">
        <f t="shared" si="6"/>
        <v>0</v>
      </c>
    </row>
    <row r="45" spans="1:11" s="1" customFormat="1" ht="16.5" customHeight="1" thickBot="1">
      <c r="A45" s="4"/>
      <c r="B45" s="159" t="s">
        <v>79</v>
      </c>
      <c r="C45" s="147">
        <v>4</v>
      </c>
      <c r="D45" s="12">
        <f t="shared" si="0"/>
        <v>0.609570252971655</v>
      </c>
      <c r="E45" s="32">
        <f t="shared" si="1"/>
        <v>0.3081664098613251</v>
      </c>
      <c r="F45" s="141"/>
      <c r="G45" s="12">
        <f t="shared" si="2"/>
        <v>0</v>
      </c>
      <c r="H45" s="32">
        <f t="shared" si="3"/>
        <v>0</v>
      </c>
      <c r="I45" s="132">
        <f t="shared" si="4"/>
        <v>4</v>
      </c>
      <c r="J45" s="12">
        <f t="shared" si="5"/>
        <v>0.09216377502822516</v>
      </c>
      <c r="K45" s="13">
        <f t="shared" si="6"/>
        <v>0.046296296296296294</v>
      </c>
    </row>
    <row r="46" spans="1:11" s="1" customFormat="1" ht="18" customHeight="1" thickBot="1">
      <c r="A46" s="99" t="s">
        <v>77</v>
      </c>
      <c r="B46" s="92" t="s">
        <v>63</v>
      </c>
      <c r="C46" s="148">
        <v>6</v>
      </c>
      <c r="D46" s="94">
        <f t="shared" si="0"/>
        <v>0.9143553794574825</v>
      </c>
      <c r="E46" s="95">
        <f t="shared" si="1"/>
        <v>0.4622496147919877</v>
      </c>
      <c r="F46" s="135"/>
      <c r="G46" s="94">
        <f>F46*1000/$G$2</f>
        <v>0</v>
      </c>
      <c r="H46" s="95">
        <f t="shared" si="3"/>
        <v>0</v>
      </c>
      <c r="I46" s="145">
        <f>SUM(C46,F46)</f>
        <v>6</v>
      </c>
      <c r="J46" s="94">
        <f>I46*1000/$J$2</f>
        <v>0.13824566254233772</v>
      </c>
      <c r="K46" s="97">
        <f t="shared" si="6"/>
        <v>0.06944444444444445</v>
      </c>
    </row>
    <row r="47" spans="1:11" s="6" customFormat="1" ht="21" customHeight="1" thickBot="1">
      <c r="A47" s="99" t="s">
        <v>29</v>
      </c>
      <c r="B47" s="92" t="s">
        <v>65</v>
      </c>
      <c r="C47" s="148">
        <v>63</v>
      </c>
      <c r="D47" s="94">
        <f t="shared" si="0"/>
        <v>9.600731484303566</v>
      </c>
      <c r="E47" s="95">
        <f t="shared" si="1"/>
        <v>4.85362095531587</v>
      </c>
      <c r="F47" s="135">
        <f>46+89+2</f>
        <v>137</v>
      </c>
      <c r="G47" s="94">
        <f t="shared" si="2"/>
        <v>3.71888487743967</v>
      </c>
      <c r="H47" s="95">
        <f t="shared" si="3"/>
        <v>1.8659765731408335</v>
      </c>
      <c r="I47" s="145">
        <f t="shared" si="4"/>
        <v>200</v>
      </c>
      <c r="J47" s="94">
        <f t="shared" si="5"/>
        <v>4.608188751411258</v>
      </c>
      <c r="K47" s="97">
        <f t="shared" si="6"/>
        <v>2.314814814814815</v>
      </c>
    </row>
    <row r="48" spans="1:11" s="6" customFormat="1" ht="21.75" customHeight="1" thickBot="1">
      <c r="A48" s="99" t="s">
        <v>30</v>
      </c>
      <c r="B48" s="92" t="s">
        <v>66</v>
      </c>
      <c r="C48" s="148">
        <v>125</v>
      </c>
      <c r="D48" s="94">
        <f t="shared" si="0"/>
        <v>19.04907040536422</v>
      </c>
      <c r="E48" s="95">
        <f t="shared" si="1"/>
        <v>9.63020030816641</v>
      </c>
      <c r="F48" s="135">
        <f>68+34</f>
        <v>102</v>
      </c>
      <c r="G48" s="94">
        <f t="shared" si="2"/>
        <v>2.7688047992616522</v>
      </c>
      <c r="H48" s="95">
        <f t="shared" si="3"/>
        <v>1.3892672296377009</v>
      </c>
      <c r="I48" s="145">
        <f t="shared" si="4"/>
        <v>227</v>
      </c>
      <c r="J48" s="94">
        <f t="shared" si="5"/>
        <v>5.230294232851778</v>
      </c>
      <c r="K48" s="97">
        <f t="shared" si="6"/>
        <v>2.627314814814815</v>
      </c>
    </row>
    <row r="49" spans="1:11" s="1" customFormat="1" ht="15.75" customHeight="1">
      <c r="A49" s="4"/>
      <c r="B49" s="40" t="s">
        <v>67</v>
      </c>
      <c r="C49" s="146">
        <v>5</v>
      </c>
      <c r="D49" s="18">
        <f t="shared" si="0"/>
        <v>0.7619628162145687</v>
      </c>
      <c r="E49" s="31">
        <f t="shared" si="1"/>
        <v>0.3852080123266564</v>
      </c>
      <c r="F49" s="138">
        <f>22+34+1</f>
        <v>57</v>
      </c>
      <c r="G49" s="18">
        <f t="shared" si="2"/>
        <v>1.547273270175629</v>
      </c>
      <c r="H49" s="31">
        <f t="shared" si="3"/>
        <v>0.7763552165622446</v>
      </c>
      <c r="I49" s="138">
        <f t="shared" si="4"/>
        <v>62</v>
      </c>
      <c r="J49" s="18">
        <f t="shared" si="5"/>
        <v>1.42853851293749</v>
      </c>
      <c r="K49" s="19">
        <f t="shared" si="6"/>
        <v>0.7175925925925926</v>
      </c>
    </row>
    <row r="50" spans="1:11" s="1" customFormat="1" ht="12.75">
      <c r="A50" s="4"/>
      <c r="B50" s="38" t="s">
        <v>71</v>
      </c>
      <c r="C50" s="147"/>
      <c r="D50" s="12">
        <f t="shared" si="0"/>
        <v>0</v>
      </c>
      <c r="E50" s="32">
        <f t="shared" si="1"/>
        <v>0</v>
      </c>
      <c r="F50" s="132">
        <v>5</v>
      </c>
      <c r="G50" s="12">
        <f t="shared" si="2"/>
        <v>0.13572572545400255</v>
      </c>
      <c r="H50" s="32">
        <f t="shared" si="3"/>
        <v>0.06810133478616182</v>
      </c>
      <c r="I50" s="132">
        <f t="shared" si="4"/>
        <v>5</v>
      </c>
      <c r="J50" s="12">
        <f t="shared" si="5"/>
        <v>0.11520471878528145</v>
      </c>
      <c r="K50" s="13">
        <f t="shared" si="6"/>
        <v>0.05787037037037037</v>
      </c>
    </row>
    <row r="51" spans="1:11" s="1" customFormat="1" ht="15.75" customHeight="1">
      <c r="A51" s="4"/>
      <c r="B51" s="38" t="s">
        <v>68</v>
      </c>
      <c r="C51" s="147">
        <v>1</v>
      </c>
      <c r="D51" s="12">
        <f t="shared" si="0"/>
        <v>0.15239256324291375</v>
      </c>
      <c r="E51" s="32">
        <f t="shared" si="1"/>
        <v>0.07704160246533127</v>
      </c>
      <c r="F51" s="132">
        <v>6</v>
      </c>
      <c r="G51" s="12">
        <f t="shared" si="2"/>
        <v>0.16287087054480306</v>
      </c>
      <c r="H51" s="32">
        <f t="shared" si="3"/>
        <v>0.08172160174339417</v>
      </c>
      <c r="I51" s="132">
        <f t="shared" si="4"/>
        <v>7</v>
      </c>
      <c r="J51" s="12">
        <f t="shared" si="5"/>
        <v>0.16128660629939404</v>
      </c>
      <c r="K51" s="13">
        <f t="shared" si="6"/>
        <v>0.08101851851851852</v>
      </c>
    </row>
    <row r="52" spans="1:11" s="1" customFormat="1" ht="12.75">
      <c r="A52" s="4"/>
      <c r="B52" s="38" t="s">
        <v>72</v>
      </c>
      <c r="C52" s="147"/>
      <c r="D52" s="12">
        <f t="shared" si="0"/>
        <v>0</v>
      </c>
      <c r="E52" s="32">
        <f t="shared" si="1"/>
        <v>0</v>
      </c>
      <c r="F52" s="132"/>
      <c r="G52" s="12">
        <f t="shared" si="2"/>
        <v>0</v>
      </c>
      <c r="H52" s="32">
        <f t="shared" si="3"/>
        <v>0</v>
      </c>
      <c r="I52" s="132"/>
      <c r="J52" s="12">
        <f t="shared" si="5"/>
        <v>0</v>
      </c>
      <c r="K52" s="13">
        <f t="shared" si="6"/>
        <v>0</v>
      </c>
    </row>
    <row r="53" spans="1:11" s="1" customFormat="1" ht="15.75" customHeight="1">
      <c r="A53" s="4"/>
      <c r="B53" s="38" t="s">
        <v>69</v>
      </c>
      <c r="C53" s="147">
        <v>4</v>
      </c>
      <c r="D53" s="12">
        <f t="shared" si="0"/>
        <v>0.609570252971655</v>
      </c>
      <c r="E53" s="32">
        <f t="shared" si="1"/>
        <v>0.3081664098613251</v>
      </c>
      <c r="F53" s="132">
        <f>3+15</f>
        <v>18</v>
      </c>
      <c r="G53" s="12">
        <f t="shared" si="2"/>
        <v>0.48861261163440917</v>
      </c>
      <c r="H53" s="32">
        <f t="shared" si="3"/>
        <v>0.24516480523018253</v>
      </c>
      <c r="I53" s="132">
        <f t="shared" si="4"/>
        <v>22</v>
      </c>
      <c r="J53" s="12">
        <f t="shared" si="5"/>
        <v>0.5069007626552383</v>
      </c>
      <c r="K53" s="13">
        <f t="shared" si="6"/>
        <v>0.25462962962962965</v>
      </c>
    </row>
    <row r="54" spans="1:11" s="1" customFormat="1" ht="12.75">
      <c r="A54" s="4"/>
      <c r="B54" s="38" t="s">
        <v>73</v>
      </c>
      <c r="C54" s="147"/>
      <c r="D54" s="12">
        <f t="shared" si="0"/>
        <v>0</v>
      </c>
      <c r="E54" s="32">
        <f t="shared" si="1"/>
        <v>0</v>
      </c>
      <c r="F54" s="132">
        <v>1</v>
      </c>
      <c r="G54" s="12">
        <f t="shared" si="2"/>
        <v>0.027145145090800512</v>
      </c>
      <c r="H54" s="32">
        <f t="shared" si="3"/>
        <v>0.013620266957232362</v>
      </c>
      <c r="I54" s="132"/>
      <c r="J54" s="12">
        <f t="shared" si="5"/>
        <v>0</v>
      </c>
      <c r="K54" s="13">
        <f t="shared" si="6"/>
        <v>0</v>
      </c>
    </row>
    <row r="55" spans="1:11" s="1" customFormat="1" ht="15.75" customHeight="1">
      <c r="A55" s="4"/>
      <c r="B55" s="38" t="s">
        <v>70</v>
      </c>
      <c r="C55" s="147">
        <v>4</v>
      </c>
      <c r="D55" s="12">
        <f t="shared" si="0"/>
        <v>0.609570252971655</v>
      </c>
      <c r="E55" s="32">
        <f t="shared" si="1"/>
        <v>0.3081664098613251</v>
      </c>
      <c r="F55" s="132">
        <f>2+6</f>
        <v>8</v>
      </c>
      <c r="G55" s="12">
        <f t="shared" si="2"/>
        <v>0.2171611607264041</v>
      </c>
      <c r="H55" s="32">
        <f t="shared" si="3"/>
        <v>0.1089621356578589</v>
      </c>
      <c r="I55" s="132">
        <f t="shared" si="4"/>
        <v>12</v>
      </c>
      <c r="J55" s="12">
        <f t="shared" si="5"/>
        <v>0.27649132508467544</v>
      </c>
      <c r="K55" s="13">
        <f t="shared" si="6"/>
        <v>0.1388888888888889</v>
      </c>
    </row>
    <row r="56" spans="1:11" s="1" customFormat="1" ht="12.75">
      <c r="A56" s="4"/>
      <c r="B56" s="38" t="s">
        <v>74</v>
      </c>
      <c r="C56" s="147"/>
      <c r="D56" s="12">
        <f t="shared" si="0"/>
        <v>0</v>
      </c>
      <c r="E56" s="32">
        <f t="shared" si="1"/>
        <v>0</v>
      </c>
      <c r="F56" s="132"/>
      <c r="G56" s="12">
        <f t="shared" si="2"/>
        <v>0</v>
      </c>
      <c r="H56" s="32">
        <f t="shared" si="3"/>
        <v>0</v>
      </c>
      <c r="I56" s="132"/>
      <c r="J56" s="12">
        <f t="shared" si="5"/>
        <v>0</v>
      </c>
      <c r="K56" s="13">
        <f t="shared" si="6"/>
        <v>0</v>
      </c>
    </row>
    <row r="57" spans="1:11" s="1" customFormat="1" ht="16.5" customHeight="1" thickBot="1">
      <c r="A57" s="4"/>
      <c r="B57" s="38" t="s">
        <v>33</v>
      </c>
      <c r="C57" s="152">
        <v>1</v>
      </c>
      <c r="D57" s="12">
        <f t="shared" si="0"/>
        <v>0.15239256324291375</v>
      </c>
      <c r="E57" s="32">
        <f>C57*100/C$58</f>
        <v>0.07704160246533127</v>
      </c>
      <c r="F57" s="139"/>
      <c r="G57" s="12">
        <f t="shared" si="2"/>
        <v>0</v>
      </c>
      <c r="H57" s="32">
        <f>F57*100/F$58</f>
        <v>0</v>
      </c>
      <c r="I57" s="132">
        <f t="shared" si="4"/>
        <v>1</v>
      </c>
      <c r="J57" s="12">
        <f t="shared" si="5"/>
        <v>0.02304094375705629</v>
      </c>
      <c r="K57" s="13">
        <f t="shared" si="6"/>
        <v>0.011574074074074073</v>
      </c>
    </row>
    <row r="58" spans="1:11" s="6" customFormat="1" ht="18" customHeight="1" thickBot="1">
      <c r="A58" s="82"/>
      <c r="B58" s="144" t="s">
        <v>22</v>
      </c>
      <c r="C58" s="148">
        <f>C48+C47+C46+C43+C38+C34+C33+C32+C27+C22+C18+C17+C16+C14+C13+C11+C10+C8+C5</f>
        <v>1298</v>
      </c>
      <c r="D58" s="214">
        <f t="shared" si="0"/>
        <v>197.80554708930205</v>
      </c>
      <c r="E58" s="95"/>
      <c r="F58" s="145">
        <f>F48+F47+F46+F43+F38+F34+F33+F32+F27+F22+F18+F17+F16+F14+F13+F11+F10+F8+F5</f>
        <v>7342</v>
      </c>
      <c r="G58" s="214">
        <f t="shared" si="2"/>
        <v>199.29965525665736</v>
      </c>
      <c r="H58" s="95"/>
      <c r="I58" s="145">
        <f>I48+I47+I46+I43+I38+I34+I33+I32+I27+I22+I18+I17+I16+I14+I13+I11+I10+I8+I5</f>
        <v>8640</v>
      </c>
      <c r="J58" s="214">
        <f t="shared" si="5"/>
        <v>199.07375406096634</v>
      </c>
      <c r="K58" s="97"/>
    </row>
    <row r="59" spans="1:11" s="6" customFormat="1" ht="22.5" customHeight="1">
      <c r="A59" s="15"/>
      <c r="B59" s="235" t="s">
        <v>87</v>
      </c>
      <c r="C59" s="235"/>
      <c r="D59" s="235"/>
      <c r="E59" s="235"/>
      <c r="F59" s="235"/>
      <c r="G59" s="235"/>
      <c r="H59" s="235"/>
      <c r="I59" s="236"/>
      <c r="J59" s="236"/>
      <c r="K59" s="236"/>
    </row>
  </sheetData>
  <sheetProtection/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5905511811023623" bottom="0.4724409448818898" header="0.23" footer="0"/>
  <pageSetup blackAndWhite="1" horizontalDpi="600" verticalDpi="600" orientation="landscape" paperSize="9" r:id="rId1"/>
  <headerFooter alignWithMargins="0">
    <oddFooter>&amp;L&amp;Z&amp;F * &amp;A&amp;R&amp;P -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75" zoomScaleNormal="75" zoomScalePageLayoutView="0" workbookViewId="0" topLeftCell="A1">
      <pane ySplit="4" topLeftCell="A26" activePane="bottomLeft" state="frozen"/>
      <selection pane="topLeft" activeCell="A1" sqref="A1"/>
      <selection pane="bottomLeft" activeCell="B59" sqref="B59:H59"/>
    </sheetView>
  </sheetViews>
  <sheetFormatPr defaultColWidth="9.00390625" defaultRowHeight="12.75"/>
  <cols>
    <col min="1" max="1" width="5.7539062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21.75" customHeight="1">
      <c r="A1" s="237" t="s">
        <v>90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20.25" customHeight="1" thickBot="1">
      <c r="A2" s="21"/>
      <c r="B2" s="22"/>
      <c r="C2" s="2"/>
      <c r="D2" s="2">
        <v>3349</v>
      </c>
      <c r="G2" s="3">
        <v>18573</v>
      </c>
      <c r="J2" s="2">
        <f>SUM(D2:G2)</f>
        <v>21922</v>
      </c>
      <c r="K2" s="2"/>
    </row>
    <row r="3" spans="1:11" ht="15.75" customHeight="1">
      <c r="A3" s="239" t="s">
        <v>24</v>
      </c>
      <c r="B3" s="241" t="s">
        <v>5</v>
      </c>
      <c r="C3" s="130" t="s">
        <v>1</v>
      </c>
      <c r="D3" s="129"/>
      <c r="E3" s="129"/>
      <c r="F3" s="130" t="s">
        <v>2</v>
      </c>
      <c r="G3" s="129"/>
      <c r="H3" s="129"/>
      <c r="I3" s="130" t="s">
        <v>3</v>
      </c>
      <c r="J3" s="129"/>
      <c r="K3" s="131"/>
    </row>
    <row r="4" spans="1:11" ht="28.5" customHeight="1" thickBot="1">
      <c r="A4" s="250"/>
      <c r="B4" s="242"/>
      <c r="C4" s="126" t="s">
        <v>6</v>
      </c>
      <c r="D4" s="124" t="s">
        <v>7</v>
      </c>
      <c r="E4" s="125" t="s">
        <v>8</v>
      </c>
      <c r="F4" s="126" t="s">
        <v>6</v>
      </c>
      <c r="G4" s="124" t="s">
        <v>7</v>
      </c>
      <c r="H4" s="125" t="s">
        <v>8</v>
      </c>
      <c r="I4" s="126" t="s">
        <v>6</v>
      </c>
      <c r="J4" s="124" t="s">
        <v>7</v>
      </c>
      <c r="K4" s="127" t="s">
        <v>8</v>
      </c>
    </row>
    <row r="5" spans="1:11" ht="16.5" customHeight="1" thickBot="1">
      <c r="A5" s="165" t="s">
        <v>9</v>
      </c>
      <c r="B5" s="154" t="s">
        <v>26</v>
      </c>
      <c r="D5" s="94">
        <f>C6*1000/$D$2</f>
        <v>0</v>
      </c>
      <c r="E5" s="95">
        <f>C6*100/C$58</f>
        <v>0</v>
      </c>
      <c r="F5" s="135"/>
      <c r="G5" s="94">
        <f aca="true" t="shared" si="0" ref="G5:G58">F5*1000/$G$2</f>
        <v>0</v>
      </c>
      <c r="H5" s="95">
        <f aca="true" t="shared" si="1" ref="H5:H56">F5*100/F$58</f>
        <v>0</v>
      </c>
      <c r="I5" s="145">
        <f>SUM(C6,F5)</f>
        <v>0</v>
      </c>
      <c r="J5" s="94">
        <f aca="true" t="shared" si="2" ref="J5:J58">I5*1000/$J$2</f>
        <v>0</v>
      </c>
      <c r="K5" s="97">
        <f aca="true" t="shared" si="3" ref="K5:K57">I5*100/I$58</f>
        <v>0</v>
      </c>
    </row>
    <row r="6" spans="1:11" s="1" customFormat="1" ht="13.5" customHeight="1" thickBot="1">
      <c r="A6" s="4"/>
      <c r="B6" s="40" t="s">
        <v>36</v>
      </c>
      <c r="C6" s="145"/>
      <c r="D6" s="94">
        <f>C7*1000/$D$2</f>
        <v>0</v>
      </c>
      <c r="E6" s="95">
        <f>C7*100/C$58</f>
        <v>0</v>
      </c>
      <c r="F6" s="138"/>
      <c r="G6" s="18">
        <f t="shared" si="0"/>
        <v>0</v>
      </c>
      <c r="H6" s="31">
        <f t="shared" si="1"/>
        <v>0</v>
      </c>
      <c r="I6" s="145">
        <f>SUM(C7,F6)</f>
        <v>0</v>
      </c>
      <c r="J6" s="18">
        <f t="shared" si="2"/>
        <v>0</v>
      </c>
      <c r="K6" s="19">
        <f t="shared" si="3"/>
        <v>0</v>
      </c>
    </row>
    <row r="7" spans="1:11" s="1" customFormat="1" ht="15" customHeight="1" thickBot="1">
      <c r="A7" s="4"/>
      <c r="B7" s="39" t="s">
        <v>37</v>
      </c>
      <c r="C7" s="147"/>
      <c r="D7" s="12">
        <f aca="true" t="shared" si="4" ref="D7:D58">C7*1000/$D$2</f>
        <v>0</v>
      </c>
      <c r="E7" s="32">
        <f aca="true" t="shared" si="5" ref="E7:E56">C7*100/C$58</f>
        <v>0</v>
      </c>
      <c r="F7" s="133"/>
      <c r="G7" s="14">
        <f t="shared" si="0"/>
        <v>0</v>
      </c>
      <c r="H7" s="35">
        <f t="shared" si="1"/>
        <v>0</v>
      </c>
      <c r="I7" s="140">
        <f aca="true" t="shared" si="6" ref="I7:I57">SUM(C7,F7)</f>
        <v>0</v>
      </c>
      <c r="J7" s="14">
        <f t="shared" si="2"/>
        <v>0</v>
      </c>
      <c r="K7" s="13">
        <f t="shared" si="3"/>
        <v>0</v>
      </c>
    </row>
    <row r="8" spans="1:11" ht="17.25" customHeight="1" thickBot="1">
      <c r="A8" s="165" t="s">
        <v>10</v>
      </c>
      <c r="B8" s="100" t="s">
        <v>38</v>
      </c>
      <c r="C8" s="148"/>
      <c r="D8" s="94">
        <f t="shared" si="4"/>
        <v>0</v>
      </c>
      <c r="E8" s="95">
        <f t="shared" si="5"/>
        <v>0</v>
      </c>
      <c r="F8" s="135">
        <v>6</v>
      </c>
      <c r="G8" s="94">
        <f t="shared" si="0"/>
        <v>0.32304958811177514</v>
      </c>
      <c r="H8" s="95">
        <f t="shared" si="1"/>
        <v>0.16277807921866522</v>
      </c>
      <c r="I8" s="145">
        <f t="shared" si="6"/>
        <v>6</v>
      </c>
      <c r="J8" s="94">
        <f t="shared" si="2"/>
        <v>0.2736976553234194</v>
      </c>
      <c r="K8" s="97">
        <f t="shared" si="3"/>
        <v>0.13163668275559456</v>
      </c>
    </row>
    <row r="9" spans="1:11" s="1" customFormat="1" ht="15.75" customHeight="1" thickBot="1">
      <c r="A9" s="16"/>
      <c r="B9" s="40" t="s">
        <v>39</v>
      </c>
      <c r="C9" s="146"/>
      <c r="D9" s="18">
        <f t="shared" si="4"/>
        <v>0</v>
      </c>
      <c r="E9" s="31">
        <f t="shared" si="5"/>
        <v>0</v>
      </c>
      <c r="F9" s="133">
        <v>4</v>
      </c>
      <c r="G9" s="18">
        <f t="shared" si="0"/>
        <v>0.21536639207451677</v>
      </c>
      <c r="H9" s="31">
        <f t="shared" si="1"/>
        <v>0.10851871947911014</v>
      </c>
      <c r="I9" s="138">
        <f t="shared" si="6"/>
        <v>4</v>
      </c>
      <c r="J9" s="18">
        <f t="shared" si="2"/>
        <v>0.18246510354894627</v>
      </c>
      <c r="K9" s="19">
        <f t="shared" si="3"/>
        <v>0.0877577885037297</v>
      </c>
    </row>
    <row r="10" spans="1:11" s="6" customFormat="1" ht="15.75" customHeight="1" thickBot="1">
      <c r="A10" s="105" t="s">
        <v>11</v>
      </c>
      <c r="B10" s="92" t="s">
        <v>40</v>
      </c>
      <c r="C10" s="148"/>
      <c r="D10" s="94">
        <f t="shared" si="4"/>
        <v>0</v>
      </c>
      <c r="E10" s="95">
        <f t="shared" si="5"/>
        <v>0</v>
      </c>
      <c r="F10" s="135"/>
      <c r="G10" s="94">
        <f t="shared" si="0"/>
        <v>0</v>
      </c>
      <c r="H10" s="95">
        <f t="shared" si="1"/>
        <v>0</v>
      </c>
      <c r="I10" s="145">
        <f t="shared" si="6"/>
        <v>0</v>
      </c>
      <c r="J10" s="94">
        <f t="shared" si="2"/>
        <v>0</v>
      </c>
      <c r="K10" s="97">
        <f t="shared" si="3"/>
        <v>0</v>
      </c>
    </row>
    <row r="11" spans="1:11" s="6" customFormat="1" ht="30" customHeight="1" thickBot="1">
      <c r="A11" s="98" t="s">
        <v>12</v>
      </c>
      <c r="B11" s="92" t="s">
        <v>41</v>
      </c>
      <c r="C11" s="148"/>
      <c r="D11" s="94">
        <f t="shared" si="4"/>
        <v>0</v>
      </c>
      <c r="E11" s="95">
        <f t="shared" si="5"/>
        <v>0</v>
      </c>
      <c r="F11" s="135">
        <f>32+43+1</f>
        <v>76</v>
      </c>
      <c r="G11" s="94">
        <f t="shared" si="0"/>
        <v>4.091961449415819</v>
      </c>
      <c r="H11" s="95">
        <f t="shared" si="1"/>
        <v>2.0618556701030926</v>
      </c>
      <c r="I11" s="145">
        <f t="shared" si="6"/>
        <v>76</v>
      </c>
      <c r="J11" s="94">
        <f t="shared" si="2"/>
        <v>3.466836967429979</v>
      </c>
      <c r="K11" s="97">
        <f t="shared" si="3"/>
        <v>1.6673979815708644</v>
      </c>
    </row>
    <row r="12" spans="1:11" s="6" customFormat="1" ht="16.5" customHeight="1" thickBot="1">
      <c r="A12" s="17"/>
      <c r="B12" s="41" t="s">
        <v>78</v>
      </c>
      <c r="C12" s="149"/>
      <c r="D12" s="29">
        <f t="shared" si="4"/>
        <v>0</v>
      </c>
      <c r="E12" s="34">
        <f t="shared" si="5"/>
        <v>0</v>
      </c>
      <c r="F12" s="133">
        <v>76</v>
      </c>
      <c r="G12" s="29">
        <f t="shared" si="0"/>
        <v>4.091961449415819</v>
      </c>
      <c r="H12" s="34">
        <f t="shared" si="1"/>
        <v>2.0618556701030926</v>
      </c>
      <c r="I12" s="133">
        <f t="shared" si="6"/>
        <v>76</v>
      </c>
      <c r="J12" s="29">
        <f t="shared" si="2"/>
        <v>3.466836967429979</v>
      </c>
      <c r="K12" s="30">
        <f t="shared" si="3"/>
        <v>1.6673979815708644</v>
      </c>
    </row>
    <row r="13" spans="1:11" s="6" customFormat="1" ht="15" customHeight="1" thickBot="1">
      <c r="A13" s="99" t="s">
        <v>13</v>
      </c>
      <c r="B13" s="100" t="s">
        <v>42</v>
      </c>
      <c r="C13" s="162"/>
      <c r="D13" s="102">
        <f t="shared" si="4"/>
        <v>0</v>
      </c>
      <c r="E13" s="103">
        <f t="shared" si="5"/>
        <v>0</v>
      </c>
      <c r="F13" s="135"/>
      <c r="G13" s="102">
        <f t="shared" si="0"/>
        <v>0</v>
      </c>
      <c r="H13" s="103">
        <f t="shared" si="1"/>
        <v>0</v>
      </c>
      <c r="I13" s="163">
        <f t="shared" si="6"/>
        <v>0</v>
      </c>
      <c r="J13" s="102">
        <f t="shared" si="2"/>
        <v>0</v>
      </c>
      <c r="K13" s="104">
        <f t="shared" si="3"/>
        <v>0</v>
      </c>
    </row>
    <row r="14" spans="1:11" s="6" customFormat="1" ht="15.75" customHeight="1" thickBot="1">
      <c r="A14" s="98" t="s">
        <v>14</v>
      </c>
      <c r="B14" s="92" t="s">
        <v>43</v>
      </c>
      <c r="C14" s="148"/>
      <c r="D14" s="94">
        <f t="shared" si="4"/>
        <v>0</v>
      </c>
      <c r="E14" s="95">
        <f t="shared" si="5"/>
        <v>0</v>
      </c>
      <c r="F14" s="135">
        <f>263+249</f>
        <v>512</v>
      </c>
      <c r="G14" s="94">
        <f t="shared" si="0"/>
        <v>27.566898185538147</v>
      </c>
      <c r="H14" s="95">
        <f t="shared" si="1"/>
        <v>13.890396093326098</v>
      </c>
      <c r="I14" s="145">
        <f t="shared" si="6"/>
        <v>512</v>
      </c>
      <c r="J14" s="94">
        <f t="shared" si="2"/>
        <v>23.355533254265122</v>
      </c>
      <c r="K14" s="113">
        <f t="shared" si="3"/>
        <v>11.232996928477402</v>
      </c>
    </row>
    <row r="15" spans="1:11" s="1" customFormat="1" ht="15.75" customHeight="1" thickBot="1">
      <c r="A15" s="4"/>
      <c r="B15" s="42" t="s">
        <v>44</v>
      </c>
      <c r="C15" s="150"/>
      <c r="D15" s="14">
        <f t="shared" si="4"/>
        <v>0</v>
      </c>
      <c r="E15" s="35">
        <f t="shared" si="5"/>
        <v>0</v>
      </c>
      <c r="F15" s="133"/>
      <c r="G15" s="14">
        <f t="shared" si="0"/>
        <v>0</v>
      </c>
      <c r="H15" s="35">
        <f t="shared" si="1"/>
        <v>0</v>
      </c>
      <c r="I15" s="140">
        <f t="shared" si="6"/>
        <v>0</v>
      </c>
      <c r="J15" s="14">
        <f t="shared" si="2"/>
        <v>0</v>
      </c>
      <c r="K15" s="20">
        <f t="shared" si="3"/>
        <v>0</v>
      </c>
    </row>
    <row r="16" spans="1:11" s="1" customFormat="1" ht="16.5" customHeight="1" thickBot="1">
      <c r="A16" s="105" t="s">
        <v>15</v>
      </c>
      <c r="B16" s="100" t="s">
        <v>27</v>
      </c>
      <c r="C16" s="151"/>
      <c r="D16" s="107">
        <f t="shared" si="4"/>
        <v>0</v>
      </c>
      <c r="E16" s="108">
        <f t="shared" si="5"/>
        <v>0</v>
      </c>
      <c r="F16" s="135"/>
      <c r="G16" s="107">
        <f t="shared" si="0"/>
        <v>0</v>
      </c>
      <c r="H16" s="108">
        <f t="shared" si="1"/>
        <v>0</v>
      </c>
      <c r="I16" s="135">
        <f t="shared" si="6"/>
        <v>0</v>
      </c>
      <c r="J16" s="107">
        <f t="shared" si="2"/>
        <v>0</v>
      </c>
      <c r="K16" s="109">
        <f t="shared" si="3"/>
        <v>0</v>
      </c>
    </row>
    <row r="17" spans="1:11" s="6" customFormat="1" ht="18" customHeight="1" thickBot="1">
      <c r="A17" s="110" t="s">
        <v>16</v>
      </c>
      <c r="B17" s="92" t="s">
        <v>45</v>
      </c>
      <c r="C17" s="148"/>
      <c r="D17" s="94">
        <f t="shared" si="4"/>
        <v>0</v>
      </c>
      <c r="E17" s="95">
        <f t="shared" si="5"/>
        <v>0</v>
      </c>
      <c r="F17" s="137">
        <f>63+58</f>
        <v>121</v>
      </c>
      <c r="G17" s="94">
        <f t="shared" si="0"/>
        <v>6.514833360254133</v>
      </c>
      <c r="H17" s="95">
        <f t="shared" si="1"/>
        <v>3.282691264243082</v>
      </c>
      <c r="I17" s="145">
        <f t="shared" si="6"/>
        <v>121</v>
      </c>
      <c r="J17" s="94">
        <f t="shared" si="2"/>
        <v>5.519569382355624</v>
      </c>
      <c r="K17" s="97">
        <f t="shared" si="3"/>
        <v>2.654673102237824</v>
      </c>
    </row>
    <row r="18" spans="1:11" s="6" customFormat="1" ht="20.25" customHeight="1" thickBot="1">
      <c r="A18" s="98" t="s">
        <v>17</v>
      </c>
      <c r="B18" s="156" t="s">
        <v>46</v>
      </c>
      <c r="C18" s="148"/>
      <c r="D18" s="94">
        <f t="shared" si="4"/>
        <v>0</v>
      </c>
      <c r="E18" s="95">
        <f t="shared" si="5"/>
        <v>0</v>
      </c>
      <c r="F18" s="135">
        <f>604+47+152+6</f>
        <v>809</v>
      </c>
      <c r="G18" s="94">
        <f t="shared" si="0"/>
        <v>43.557852797071014</v>
      </c>
      <c r="H18" s="95">
        <f t="shared" si="1"/>
        <v>21.94791101465003</v>
      </c>
      <c r="I18" s="145">
        <f t="shared" si="6"/>
        <v>809</v>
      </c>
      <c r="J18" s="94">
        <f t="shared" si="2"/>
        <v>36.90356719277438</v>
      </c>
      <c r="K18" s="97">
        <f t="shared" si="3"/>
        <v>17.749012724879332</v>
      </c>
    </row>
    <row r="19" spans="1:11" s="1" customFormat="1" ht="18" customHeight="1">
      <c r="A19" s="4"/>
      <c r="B19" s="38" t="s">
        <v>47</v>
      </c>
      <c r="C19" s="146"/>
      <c r="D19" s="18">
        <f t="shared" si="4"/>
        <v>0</v>
      </c>
      <c r="E19" s="31">
        <f t="shared" si="5"/>
        <v>0</v>
      </c>
      <c r="F19" s="138"/>
      <c r="G19" s="18">
        <f t="shared" si="0"/>
        <v>0</v>
      </c>
      <c r="H19" s="31">
        <f t="shared" si="1"/>
        <v>0</v>
      </c>
      <c r="I19" s="138">
        <f t="shared" si="6"/>
        <v>0</v>
      </c>
      <c r="J19" s="18">
        <f t="shared" si="2"/>
        <v>0</v>
      </c>
      <c r="K19" s="19">
        <f t="shared" si="3"/>
        <v>0</v>
      </c>
    </row>
    <row r="20" spans="1:11" s="1" customFormat="1" ht="16.5" customHeight="1">
      <c r="A20" s="4"/>
      <c r="B20" s="38" t="s">
        <v>48</v>
      </c>
      <c r="C20" s="132"/>
      <c r="D20" s="12">
        <f t="shared" si="4"/>
        <v>0</v>
      </c>
      <c r="E20" s="32">
        <f t="shared" si="5"/>
        <v>0</v>
      </c>
      <c r="F20" s="132">
        <f>39+1+44</f>
        <v>84</v>
      </c>
      <c r="G20" s="12">
        <f t="shared" si="0"/>
        <v>4.522694233564852</v>
      </c>
      <c r="H20" s="32">
        <f t="shared" si="1"/>
        <v>2.278893109061313</v>
      </c>
      <c r="I20" s="132">
        <f t="shared" si="6"/>
        <v>84</v>
      </c>
      <c r="J20" s="12">
        <f t="shared" si="2"/>
        <v>3.8317671745278714</v>
      </c>
      <c r="K20" s="13">
        <f t="shared" si="3"/>
        <v>1.8429135585783238</v>
      </c>
    </row>
    <row r="21" spans="1:11" s="1" customFormat="1" ht="15.75" customHeight="1" thickBot="1">
      <c r="A21" s="4"/>
      <c r="B21" s="38" t="s">
        <v>49</v>
      </c>
      <c r="C21" s="132"/>
      <c r="D21" s="12">
        <f t="shared" si="4"/>
        <v>0</v>
      </c>
      <c r="E21" s="32">
        <f t="shared" si="5"/>
        <v>0</v>
      </c>
      <c r="F21" s="133">
        <f>173+33+36+2</f>
        <v>244</v>
      </c>
      <c r="G21" s="12">
        <f t="shared" si="0"/>
        <v>13.137349916545523</v>
      </c>
      <c r="H21" s="32">
        <f t="shared" si="1"/>
        <v>6.619641888225719</v>
      </c>
      <c r="I21" s="132">
        <f t="shared" si="6"/>
        <v>244</v>
      </c>
      <c r="J21" s="12">
        <f t="shared" si="2"/>
        <v>11.130371316485721</v>
      </c>
      <c r="K21" s="13">
        <f t="shared" si="3"/>
        <v>5.3532250987275125</v>
      </c>
    </row>
    <row r="22" spans="1:11" s="6" customFormat="1" ht="15.75" customHeight="1" thickBot="1">
      <c r="A22" s="98" t="s">
        <v>28</v>
      </c>
      <c r="B22" s="92" t="s">
        <v>50</v>
      </c>
      <c r="C22" s="148">
        <v>681</v>
      </c>
      <c r="D22" s="94">
        <f t="shared" si="4"/>
        <v>203.34428187518662</v>
      </c>
      <c r="E22" s="95">
        <f t="shared" si="5"/>
        <v>78.09633027522936</v>
      </c>
      <c r="F22" s="135">
        <f>440+1+336+3</f>
        <v>780</v>
      </c>
      <c r="G22" s="94">
        <f t="shared" si="0"/>
        <v>41.99644645453077</v>
      </c>
      <c r="H22" s="95">
        <f t="shared" si="1"/>
        <v>21.161150298426477</v>
      </c>
      <c r="I22" s="145">
        <f t="shared" si="6"/>
        <v>1461</v>
      </c>
      <c r="J22" s="94">
        <f t="shared" si="2"/>
        <v>66.64537907125262</v>
      </c>
      <c r="K22" s="97">
        <f t="shared" si="3"/>
        <v>32.053532250987274</v>
      </c>
    </row>
    <row r="23" spans="1:11" s="1" customFormat="1" ht="15.75" customHeight="1">
      <c r="A23" s="4"/>
      <c r="B23" s="40" t="s">
        <v>51</v>
      </c>
      <c r="C23" s="146"/>
      <c r="D23" s="18">
        <f t="shared" si="4"/>
        <v>0</v>
      </c>
      <c r="E23" s="31">
        <f t="shared" si="5"/>
        <v>0</v>
      </c>
      <c r="F23" s="138"/>
      <c r="G23" s="18">
        <f t="shared" si="0"/>
        <v>0</v>
      </c>
      <c r="H23" s="31">
        <f t="shared" si="1"/>
        <v>0</v>
      </c>
      <c r="I23" s="138">
        <f t="shared" si="6"/>
        <v>0</v>
      </c>
      <c r="J23" s="18">
        <f t="shared" si="2"/>
        <v>0</v>
      </c>
      <c r="K23" s="19">
        <f t="shared" si="3"/>
        <v>0</v>
      </c>
    </row>
    <row r="24" spans="1:11" s="1" customFormat="1" ht="14.25" customHeight="1">
      <c r="A24" s="4"/>
      <c r="B24" s="38" t="s">
        <v>52</v>
      </c>
      <c r="C24" s="147">
        <v>177</v>
      </c>
      <c r="D24" s="12">
        <f t="shared" si="4"/>
        <v>52.851597491788596</v>
      </c>
      <c r="E24" s="32">
        <f t="shared" si="5"/>
        <v>20.298165137614678</v>
      </c>
      <c r="F24" s="132">
        <f>332+174+2</f>
        <v>508</v>
      </c>
      <c r="G24" s="12">
        <f t="shared" si="0"/>
        <v>27.35153179346363</v>
      </c>
      <c r="H24" s="32">
        <f t="shared" si="1"/>
        <v>13.781877373846989</v>
      </c>
      <c r="I24" s="132">
        <f t="shared" si="6"/>
        <v>685</v>
      </c>
      <c r="J24" s="12">
        <f t="shared" si="2"/>
        <v>31.247148982757047</v>
      </c>
      <c r="K24" s="13">
        <f t="shared" si="3"/>
        <v>15.028521281263712</v>
      </c>
    </row>
    <row r="25" spans="1:11" s="1" customFormat="1" ht="15.75" customHeight="1">
      <c r="A25" s="4"/>
      <c r="B25" s="38" t="s">
        <v>85</v>
      </c>
      <c r="C25" s="147"/>
      <c r="D25" s="12">
        <f t="shared" si="4"/>
        <v>0</v>
      </c>
      <c r="E25" s="32">
        <f t="shared" si="5"/>
        <v>0</v>
      </c>
      <c r="F25" s="132">
        <f>151+97</f>
        <v>248</v>
      </c>
      <c r="G25" s="12">
        <f t="shared" si="0"/>
        <v>13.35271630862004</v>
      </c>
      <c r="H25" s="32">
        <f t="shared" si="1"/>
        <v>6.7281606077048295</v>
      </c>
      <c r="I25" s="132">
        <f t="shared" si="6"/>
        <v>248</v>
      </c>
      <c r="J25" s="12">
        <f t="shared" si="2"/>
        <v>11.31283642003467</v>
      </c>
      <c r="K25" s="13">
        <f t="shared" si="3"/>
        <v>5.440982887231241</v>
      </c>
    </row>
    <row r="26" spans="1:11" s="1" customFormat="1" ht="13.5" thickBot="1">
      <c r="A26" s="4"/>
      <c r="B26" s="38" t="s">
        <v>86</v>
      </c>
      <c r="C26" s="147"/>
      <c r="D26" s="12">
        <f t="shared" si="4"/>
        <v>0</v>
      </c>
      <c r="E26" s="32">
        <f t="shared" si="5"/>
        <v>0</v>
      </c>
      <c r="F26" s="133">
        <f>6+2</f>
        <v>8</v>
      </c>
      <c r="G26" s="12">
        <f t="shared" si="0"/>
        <v>0.43073278414903354</v>
      </c>
      <c r="H26" s="32">
        <f t="shared" si="1"/>
        <v>0.21703743895822028</v>
      </c>
      <c r="I26" s="132">
        <f t="shared" si="6"/>
        <v>8</v>
      </c>
      <c r="J26" s="12">
        <f t="shared" si="2"/>
        <v>0.36493020709789253</v>
      </c>
      <c r="K26" s="13">
        <f t="shared" si="3"/>
        <v>0.1755155770074594</v>
      </c>
    </row>
    <row r="27" spans="1:11" s="6" customFormat="1" ht="14.25" customHeight="1" thickBot="1">
      <c r="A27" s="98" t="s">
        <v>18</v>
      </c>
      <c r="B27" s="92" t="s">
        <v>53</v>
      </c>
      <c r="C27" s="148">
        <v>3</v>
      </c>
      <c r="D27" s="94">
        <f t="shared" si="4"/>
        <v>0.8957897879964168</v>
      </c>
      <c r="E27" s="95">
        <f t="shared" si="5"/>
        <v>0.3440366972477064</v>
      </c>
      <c r="F27" s="135">
        <f>308+5+278+1</f>
        <v>592</v>
      </c>
      <c r="G27" s="94">
        <f t="shared" si="0"/>
        <v>31.87422602702848</v>
      </c>
      <c r="H27" s="95">
        <f t="shared" si="1"/>
        <v>16.060770482908303</v>
      </c>
      <c r="I27" s="145">
        <f t="shared" si="6"/>
        <v>595</v>
      </c>
      <c r="J27" s="94">
        <f t="shared" si="2"/>
        <v>27.141684152905757</v>
      </c>
      <c r="K27" s="97">
        <f t="shared" si="3"/>
        <v>13.053971039929793</v>
      </c>
    </row>
    <row r="28" spans="1:11" s="1" customFormat="1" ht="12.75">
      <c r="A28" s="4"/>
      <c r="B28" s="40" t="s">
        <v>54</v>
      </c>
      <c r="C28" s="146"/>
      <c r="D28" s="18">
        <f t="shared" si="4"/>
        <v>0</v>
      </c>
      <c r="E28" s="31">
        <f t="shared" si="5"/>
        <v>0</v>
      </c>
      <c r="F28" s="138">
        <f>3+1</f>
        <v>4</v>
      </c>
      <c r="G28" s="18">
        <f>F28*1000/$G$2</f>
        <v>0.21536639207451677</v>
      </c>
      <c r="H28" s="31">
        <f t="shared" si="1"/>
        <v>0.10851871947911014</v>
      </c>
      <c r="I28" s="138">
        <f t="shared" si="6"/>
        <v>4</v>
      </c>
      <c r="J28" s="18">
        <f t="shared" si="2"/>
        <v>0.18246510354894627</v>
      </c>
      <c r="K28" s="19">
        <f t="shared" si="3"/>
        <v>0.0877577885037297</v>
      </c>
    </row>
    <row r="29" spans="1:11" s="1" customFormat="1" ht="13.5" customHeight="1">
      <c r="A29" s="4"/>
      <c r="B29" s="38" t="s">
        <v>55</v>
      </c>
      <c r="C29" s="147">
        <v>2</v>
      </c>
      <c r="D29" s="12">
        <f t="shared" si="4"/>
        <v>0.5971931919976112</v>
      </c>
      <c r="E29" s="32">
        <f t="shared" si="5"/>
        <v>0.22935779816513763</v>
      </c>
      <c r="F29" s="132">
        <v>2</v>
      </c>
      <c r="G29" s="12">
        <f t="shared" si="0"/>
        <v>0.10768319603725839</v>
      </c>
      <c r="H29" s="32">
        <f t="shared" si="1"/>
        <v>0.05425935973955507</v>
      </c>
      <c r="I29" s="132">
        <f t="shared" si="6"/>
        <v>4</v>
      </c>
      <c r="J29" s="12">
        <f t="shared" si="2"/>
        <v>0.18246510354894627</v>
      </c>
      <c r="K29" s="13">
        <f t="shared" si="3"/>
        <v>0.0877577885037297</v>
      </c>
    </row>
    <row r="30" spans="1:11" s="1" customFormat="1" ht="12.75">
      <c r="A30" s="4"/>
      <c r="B30" s="38" t="s">
        <v>56</v>
      </c>
      <c r="C30" s="147"/>
      <c r="D30" s="12">
        <f t="shared" si="4"/>
        <v>0</v>
      </c>
      <c r="E30" s="32">
        <f t="shared" si="5"/>
        <v>0</v>
      </c>
      <c r="F30" s="139">
        <v>18</v>
      </c>
      <c r="G30" s="12">
        <f t="shared" si="0"/>
        <v>0.9691487643353255</v>
      </c>
      <c r="H30" s="32">
        <f t="shared" si="1"/>
        <v>0.48833423765599565</v>
      </c>
      <c r="I30" s="132">
        <f t="shared" si="6"/>
        <v>18</v>
      </c>
      <c r="J30" s="12">
        <f t="shared" si="2"/>
        <v>0.8210929659702582</v>
      </c>
      <c r="K30" s="13">
        <f t="shared" si="3"/>
        <v>0.39491004826678366</v>
      </c>
    </row>
    <row r="31" spans="1:11" s="1" customFormat="1" ht="16.5" customHeight="1" thickBot="1">
      <c r="A31" s="5"/>
      <c r="B31" s="38" t="s">
        <v>57</v>
      </c>
      <c r="C31" s="147"/>
      <c r="D31" s="12">
        <f t="shared" si="4"/>
        <v>0</v>
      </c>
      <c r="E31" s="32">
        <f t="shared" si="5"/>
        <v>0</v>
      </c>
      <c r="F31" s="136">
        <f>21+30</f>
        <v>51</v>
      </c>
      <c r="G31" s="12">
        <f t="shared" si="0"/>
        <v>2.745921498950089</v>
      </c>
      <c r="H31" s="32">
        <f t="shared" si="1"/>
        <v>1.3836136733586544</v>
      </c>
      <c r="I31" s="132">
        <f t="shared" si="6"/>
        <v>51</v>
      </c>
      <c r="J31" s="12">
        <f t="shared" si="2"/>
        <v>2.326430070249065</v>
      </c>
      <c r="K31" s="13">
        <f t="shared" si="3"/>
        <v>1.1189118034225538</v>
      </c>
    </row>
    <row r="32" spans="1:11" s="1" customFormat="1" ht="16.5" customHeight="1" thickBot="1">
      <c r="A32" s="99" t="s">
        <v>75</v>
      </c>
      <c r="B32" s="92" t="s">
        <v>61</v>
      </c>
      <c r="C32" s="148">
        <v>27</v>
      </c>
      <c r="D32" s="94">
        <f t="shared" si="4"/>
        <v>8.062108091967751</v>
      </c>
      <c r="E32" s="95">
        <f t="shared" si="5"/>
        <v>3.096330275229358</v>
      </c>
      <c r="F32" s="135">
        <f>213+207+4+1</f>
        <v>425</v>
      </c>
      <c r="G32" s="94">
        <f>F32*1000/$G$2</f>
        <v>22.88267915791741</v>
      </c>
      <c r="H32" s="95">
        <f t="shared" si="1"/>
        <v>11.530113944655453</v>
      </c>
      <c r="I32" s="145">
        <f>SUM(C32,F32)</f>
        <v>452</v>
      </c>
      <c r="J32" s="94">
        <f>I32*1000/$J$2</f>
        <v>20.61855670103093</v>
      </c>
      <c r="K32" s="97">
        <f t="shared" si="3"/>
        <v>9.916630100921457</v>
      </c>
    </row>
    <row r="33" spans="1:11" s="1" customFormat="1" ht="26.25" thickBot="1">
      <c r="A33" s="99" t="s">
        <v>76</v>
      </c>
      <c r="B33" s="92" t="s">
        <v>62</v>
      </c>
      <c r="C33" s="148"/>
      <c r="D33" s="94">
        <f t="shared" si="4"/>
        <v>0</v>
      </c>
      <c r="E33" s="95">
        <f t="shared" si="5"/>
        <v>0</v>
      </c>
      <c r="F33" s="135">
        <f>19+94</f>
        <v>113</v>
      </c>
      <c r="G33" s="94">
        <f>F33*1000/$G$2</f>
        <v>6.084100576105099</v>
      </c>
      <c r="H33" s="95">
        <f t="shared" si="1"/>
        <v>3.0656538252848615</v>
      </c>
      <c r="I33" s="145">
        <f>SUM(C33,F33)</f>
        <v>113</v>
      </c>
      <c r="J33" s="94">
        <f>I33*1000/$J$2</f>
        <v>5.154639175257732</v>
      </c>
      <c r="K33" s="97">
        <f t="shared" si="3"/>
        <v>2.4791575252303644</v>
      </c>
    </row>
    <row r="34" spans="1:11" s="6" customFormat="1" ht="21" customHeight="1" thickBot="1">
      <c r="A34" s="98" t="s">
        <v>19</v>
      </c>
      <c r="B34" s="92" t="s">
        <v>58</v>
      </c>
      <c r="C34" s="148">
        <v>7</v>
      </c>
      <c r="D34" s="94">
        <f t="shared" si="4"/>
        <v>2.090176171991639</v>
      </c>
      <c r="E34" s="95">
        <f t="shared" si="5"/>
        <v>0.8027522935779816</v>
      </c>
      <c r="F34" s="135">
        <f>74+1+67</f>
        <v>142</v>
      </c>
      <c r="G34" s="94">
        <f t="shared" si="0"/>
        <v>7.645506918645346</v>
      </c>
      <c r="H34" s="95">
        <f t="shared" si="1"/>
        <v>3.85241454150841</v>
      </c>
      <c r="I34" s="145">
        <f t="shared" si="6"/>
        <v>149</v>
      </c>
      <c r="J34" s="94">
        <f t="shared" si="2"/>
        <v>6.796825107198249</v>
      </c>
      <c r="K34" s="97">
        <f t="shared" si="3"/>
        <v>3.2689776217639315</v>
      </c>
    </row>
    <row r="35" spans="1:11" s="1" customFormat="1" ht="12.75">
      <c r="A35" s="4"/>
      <c r="B35" s="40" t="s">
        <v>59</v>
      </c>
      <c r="C35" s="146">
        <v>5</v>
      </c>
      <c r="D35" s="25">
        <f t="shared" si="4"/>
        <v>1.492982979994028</v>
      </c>
      <c r="E35" s="36">
        <f t="shared" si="5"/>
        <v>0.573394495412844</v>
      </c>
      <c r="F35" s="138">
        <f>55+53+1</f>
        <v>109</v>
      </c>
      <c r="G35" s="25">
        <f t="shared" si="0"/>
        <v>5.868734184030582</v>
      </c>
      <c r="H35" s="36">
        <f t="shared" si="1"/>
        <v>2.9571351058057513</v>
      </c>
      <c r="I35" s="138">
        <f t="shared" si="6"/>
        <v>114</v>
      </c>
      <c r="J35" s="25">
        <f t="shared" si="2"/>
        <v>5.200255451144969</v>
      </c>
      <c r="K35" s="26">
        <f t="shared" si="3"/>
        <v>2.501096972356297</v>
      </c>
    </row>
    <row r="36" spans="1:11" s="1" customFormat="1" ht="13.5" customHeight="1">
      <c r="A36" s="4"/>
      <c r="B36" s="43" t="s">
        <v>31</v>
      </c>
      <c r="C36" s="147"/>
      <c r="D36" s="27">
        <f t="shared" si="4"/>
        <v>0</v>
      </c>
      <c r="E36" s="37">
        <f t="shared" si="5"/>
        <v>0</v>
      </c>
      <c r="F36" s="132">
        <f>31+18+1</f>
        <v>50</v>
      </c>
      <c r="G36" s="27">
        <f t="shared" si="0"/>
        <v>2.6920799009314598</v>
      </c>
      <c r="H36" s="37">
        <f t="shared" si="1"/>
        <v>1.3564839934888768</v>
      </c>
      <c r="I36" s="132">
        <f t="shared" si="6"/>
        <v>50</v>
      </c>
      <c r="J36" s="27">
        <f t="shared" si="2"/>
        <v>2.2808137943618285</v>
      </c>
      <c r="K36" s="28">
        <f t="shared" si="3"/>
        <v>1.0969723562966214</v>
      </c>
    </row>
    <row r="37" spans="1:11" s="1" customFormat="1" ht="12" customHeight="1" thickBot="1">
      <c r="A37" s="16"/>
      <c r="B37" s="38" t="s">
        <v>84</v>
      </c>
      <c r="C37" s="147"/>
      <c r="D37" s="27">
        <f t="shared" si="4"/>
        <v>0</v>
      </c>
      <c r="E37" s="37">
        <f t="shared" si="5"/>
        <v>0</v>
      </c>
      <c r="F37" s="140"/>
      <c r="G37" s="27">
        <f t="shared" si="0"/>
        <v>0</v>
      </c>
      <c r="H37" s="37">
        <f t="shared" si="1"/>
        <v>0</v>
      </c>
      <c r="I37" s="132">
        <f t="shared" si="6"/>
        <v>0</v>
      </c>
      <c r="J37" s="27">
        <f t="shared" si="2"/>
        <v>0</v>
      </c>
      <c r="K37" s="28">
        <f t="shared" si="3"/>
        <v>0</v>
      </c>
    </row>
    <row r="38" spans="1:11" s="6" customFormat="1" ht="21" customHeight="1" thickBot="1">
      <c r="A38" s="98" t="s">
        <v>20</v>
      </c>
      <c r="B38" s="92" t="s">
        <v>32</v>
      </c>
      <c r="C38" s="148"/>
      <c r="D38" s="94">
        <f t="shared" si="4"/>
        <v>0</v>
      </c>
      <c r="E38" s="95">
        <f t="shared" si="5"/>
        <v>0</v>
      </c>
      <c r="F38" s="135"/>
      <c r="G38" s="94">
        <f t="shared" si="0"/>
        <v>0</v>
      </c>
      <c r="H38" s="95">
        <f t="shared" si="1"/>
        <v>0</v>
      </c>
      <c r="I38" s="145">
        <f t="shared" si="6"/>
        <v>0</v>
      </c>
      <c r="J38" s="94">
        <f t="shared" si="2"/>
        <v>0</v>
      </c>
      <c r="K38" s="113">
        <f t="shared" si="3"/>
        <v>0</v>
      </c>
    </row>
    <row r="39" spans="1:11" s="1" customFormat="1" ht="12.75">
      <c r="A39" s="4"/>
      <c r="B39" s="40" t="s">
        <v>60</v>
      </c>
      <c r="C39" s="146"/>
      <c r="D39" s="18">
        <f t="shared" si="4"/>
        <v>0</v>
      </c>
      <c r="E39" s="31">
        <f t="shared" si="5"/>
        <v>0</v>
      </c>
      <c r="F39" s="138"/>
      <c r="G39" s="18">
        <f t="shared" si="0"/>
        <v>0</v>
      </c>
      <c r="H39" s="31">
        <f t="shared" si="1"/>
        <v>0</v>
      </c>
      <c r="I39" s="138">
        <f t="shared" si="6"/>
        <v>0</v>
      </c>
      <c r="J39" s="18">
        <f t="shared" si="2"/>
        <v>0</v>
      </c>
      <c r="K39" s="19">
        <f t="shared" si="3"/>
        <v>0</v>
      </c>
    </row>
    <row r="40" spans="1:11" s="1" customFormat="1" ht="12.75">
      <c r="A40" s="4"/>
      <c r="B40" s="38" t="s">
        <v>34</v>
      </c>
      <c r="C40" s="147"/>
      <c r="D40" s="12">
        <f t="shared" si="4"/>
        <v>0</v>
      </c>
      <c r="E40" s="32">
        <f t="shared" si="5"/>
        <v>0</v>
      </c>
      <c r="F40" s="132"/>
      <c r="G40" s="12">
        <f t="shared" si="0"/>
        <v>0</v>
      </c>
      <c r="H40" s="32">
        <f t="shared" si="1"/>
        <v>0</v>
      </c>
      <c r="I40" s="132">
        <f t="shared" si="6"/>
        <v>0</v>
      </c>
      <c r="J40" s="12">
        <f t="shared" si="2"/>
        <v>0</v>
      </c>
      <c r="K40" s="13">
        <f t="shared" si="3"/>
        <v>0</v>
      </c>
    </row>
    <row r="41" spans="1:11" s="1" customFormat="1" ht="12.75">
      <c r="A41" s="4"/>
      <c r="B41" s="38" t="s">
        <v>25</v>
      </c>
      <c r="C41" s="147"/>
      <c r="D41" s="12">
        <f t="shared" si="4"/>
        <v>0</v>
      </c>
      <c r="E41" s="32">
        <f t="shared" si="5"/>
        <v>0</v>
      </c>
      <c r="F41" s="132"/>
      <c r="G41" s="12">
        <f t="shared" si="0"/>
        <v>0</v>
      </c>
      <c r="H41" s="32">
        <f t="shared" si="1"/>
        <v>0</v>
      </c>
      <c r="I41" s="132">
        <f t="shared" si="6"/>
        <v>0</v>
      </c>
      <c r="J41" s="12">
        <f t="shared" si="2"/>
        <v>0</v>
      </c>
      <c r="K41" s="13">
        <f t="shared" si="3"/>
        <v>0</v>
      </c>
    </row>
    <row r="42" spans="1:11" s="1" customFormat="1" ht="13.5" thickBot="1">
      <c r="A42" s="5"/>
      <c r="B42" s="38" t="s">
        <v>35</v>
      </c>
      <c r="C42" s="147"/>
      <c r="D42" s="12">
        <f t="shared" si="4"/>
        <v>0</v>
      </c>
      <c r="E42" s="32">
        <f t="shared" si="5"/>
        <v>0</v>
      </c>
      <c r="F42" s="133"/>
      <c r="G42" s="12">
        <f t="shared" si="0"/>
        <v>0</v>
      </c>
      <c r="H42" s="32">
        <f t="shared" si="1"/>
        <v>0</v>
      </c>
      <c r="I42" s="132">
        <f t="shared" si="6"/>
        <v>0</v>
      </c>
      <c r="J42" s="12">
        <f t="shared" si="2"/>
        <v>0</v>
      </c>
      <c r="K42" s="13">
        <f t="shared" si="3"/>
        <v>0</v>
      </c>
    </row>
    <row r="43" spans="1:11" s="6" customFormat="1" ht="28.5" customHeight="1" thickBot="1">
      <c r="A43" s="98" t="s">
        <v>21</v>
      </c>
      <c r="B43" s="92" t="s">
        <v>64</v>
      </c>
      <c r="C43" s="148"/>
      <c r="D43" s="94">
        <f t="shared" si="4"/>
        <v>0</v>
      </c>
      <c r="E43" s="95">
        <f t="shared" si="5"/>
        <v>0</v>
      </c>
      <c r="F43" s="135"/>
      <c r="G43" s="94">
        <f t="shared" si="0"/>
        <v>0</v>
      </c>
      <c r="H43" s="95">
        <f t="shared" si="1"/>
        <v>0</v>
      </c>
      <c r="I43" s="145">
        <f t="shared" si="6"/>
        <v>0</v>
      </c>
      <c r="J43" s="94">
        <f t="shared" si="2"/>
        <v>0</v>
      </c>
      <c r="K43" s="113">
        <f t="shared" si="3"/>
        <v>0</v>
      </c>
    </row>
    <row r="44" spans="1:11" s="1" customFormat="1" ht="27.75" customHeight="1" thickBot="1">
      <c r="A44" s="9"/>
      <c r="B44" s="161" t="s">
        <v>81</v>
      </c>
      <c r="C44" s="146"/>
      <c r="D44" s="18">
        <f t="shared" si="4"/>
        <v>0</v>
      </c>
      <c r="E44" s="31">
        <f t="shared" si="5"/>
        <v>0</v>
      </c>
      <c r="F44" s="143"/>
      <c r="G44" s="18">
        <f t="shared" si="0"/>
        <v>0</v>
      </c>
      <c r="H44" s="31">
        <f t="shared" si="1"/>
        <v>0</v>
      </c>
      <c r="I44" s="138">
        <f t="shared" si="6"/>
        <v>0</v>
      </c>
      <c r="J44" s="18">
        <f t="shared" si="2"/>
        <v>0</v>
      </c>
      <c r="K44" s="19">
        <f t="shared" si="3"/>
        <v>0</v>
      </c>
    </row>
    <row r="45" spans="1:11" s="1" customFormat="1" ht="16.5" customHeight="1" thickBot="1">
      <c r="A45" s="4"/>
      <c r="B45" s="159" t="s">
        <v>79</v>
      </c>
      <c r="C45" s="147"/>
      <c r="D45" s="12">
        <f t="shared" si="4"/>
        <v>0</v>
      </c>
      <c r="E45" s="32">
        <f t="shared" si="5"/>
        <v>0</v>
      </c>
      <c r="F45" s="141"/>
      <c r="G45" s="12">
        <f t="shared" si="0"/>
        <v>0</v>
      </c>
      <c r="H45" s="32">
        <f t="shared" si="1"/>
        <v>0</v>
      </c>
      <c r="I45" s="132">
        <f t="shared" si="6"/>
        <v>0</v>
      </c>
      <c r="J45" s="12">
        <f t="shared" si="2"/>
        <v>0</v>
      </c>
      <c r="K45" s="13">
        <f t="shared" si="3"/>
        <v>0</v>
      </c>
    </row>
    <row r="46" spans="1:11" s="1" customFormat="1" ht="18" customHeight="1" thickBot="1">
      <c r="A46" s="99" t="s">
        <v>77</v>
      </c>
      <c r="B46" s="92" t="s">
        <v>63</v>
      </c>
      <c r="C46" s="148"/>
      <c r="D46" s="94">
        <f t="shared" si="4"/>
        <v>0</v>
      </c>
      <c r="E46" s="95">
        <f t="shared" si="5"/>
        <v>0</v>
      </c>
      <c r="F46" s="135"/>
      <c r="G46" s="94">
        <f>F46*1000/$G$2</f>
        <v>0</v>
      </c>
      <c r="H46" s="95">
        <f t="shared" si="1"/>
        <v>0</v>
      </c>
      <c r="I46" s="145">
        <f>SUM(C46,F46)</f>
        <v>0</v>
      </c>
      <c r="J46" s="94">
        <f>I46*1000/$J$2</f>
        <v>0</v>
      </c>
      <c r="K46" s="97">
        <f t="shared" si="3"/>
        <v>0</v>
      </c>
    </row>
    <row r="47" spans="1:11" s="6" customFormat="1" ht="21" customHeight="1" thickBot="1">
      <c r="A47" s="99" t="s">
        <v>29</v>
      </c>
      <c r="B47" s="92" t="s">
        <v>65</v>
      </c>
      <c r="C47" s="148">
        <v>154</v>
      </c>
      <c r="D47" s="94">
        <f t="shared" si="4"/>
        <v>45.98387578381607</v>
      </c>
      <c r="E47" s="95">
        <f t="shared" si="5"/>
        <v>17.660550458715598</v>
      </c>
      <c r="F47" s="135">
        <f>48+32</f>
        <v>80</v>
      </c>
      <c r="G47" s="94">
        <f t="shared" si="0"/>
        <v>4.307327841490335</v>
      </c>
      <c r="H47" s="95">
        <f t="shared" si="1"/>
        <v>2.1703743895822027</v>
      </c>
      <c r="I47" s="145">
        <f t="shared" si="6"/>
        <v>234</v>
      </c>
      <c r="J47" s="94">
        <f t="shared" si="2"/>
        <v>10.674208557613357</v>
      </c>
      <c r="K47" s="97">
        <f t="shared" si="3"/>
        <v>5.133830627468188</v>
      </c>
    </row>
    <row r="48" spans="1:11" s="6" customFormat="1" ht="19.5" customHeight="1" thickBot="1">
      <c r="A48" s="98" t="s">
        <v>30</v>
      </c>
      <c r="B48" s="92" t="s">
        <v>66</v>
      </c>
      <c r="C48" s="148"/>
      <c r="D48" s="94">
        <f t="shared" si="4"/>
        <v>0</v>
      </c>
      <c r="E48" s="95">
        <f t="shared" si="5"/>
        <v>0</v>
      </c>
      <c r="F48" s="135">
        <f>15+15</f>
        <v>30</v>
      </c>
      <c r="G48" s="94">
        <f t="shared" si="0"/>
        <v>1.6152479405588758</v>
      </c>
      <c r="H48" s="95">
        <f t="shared" si="1"/>
        <v>0.8138903960933261</v>
      </c>
      <c r="I48" s="145">
        <f t="shared" si="6"/>
        <v>30</v>
      </c>
      <c r="J48" s="94">
        <f t="shared" si="2"/>
        <v>1.368488276617097</v>
      </c>
      <c r="K48" s="97">
        <f t="shared" si="3"/>
        <v>0.6581834137779728</v>
      </c>
    </row>
    <row r="49" spans="1:11" s="1" customFormat="1" ht="15.75" customHeight="1">
      <c r="A49" s="4"/>
      <c r="B49" s="40" t="s">
        <v>67</v>
      </c>
      <c r="C49" s="146"/>
      <c r="D49" s="18">
        <f t="shared" si="4"/>
        <v>0</v>
      </c>
      <c r="E49" s="31">
        <f t="shared" si="5"/>
        <v>0</v>
      </c>
      <c r="F49" s="138">
        <v>30</v>
      </c>
      <c r="G49" s="18">
        <f t="shared" si="0"/>
        <v>1.6152479405588758</v>
      </c>
      <c r="H49" s="31">
        <f t="shared" si="1"/>
        <v>0.8138903960933261</v>
      </c>
      <c r="I49" s="138">
        <f t="shared" si="6"/>
        <v>30</v>
      </c>
      <c r="J49" s="18">
        <f t="shared" si="2"/>
        <v>1.368488276617097</v>
      </c>
      <c r="K49" s="19">
        <f t="shared" si="3"/>
        <v>0.6581834137779728</v>
      </c>
    </row>
    <row r="50" spans="1:11" s="1" customFormat="1" ht="12.75">
      <c r="A50" s="4"/>
      <c r="B50" s="38" t="s">
        <v>71</v>
      </c>
      <c r="C50" s="147"/>
      <c r="D50" s="12">
        <f t="shared" si="4"/>
        <v>0</v>
      </c>
      <c r="E50" s="32">
        <f t="shared" si="5"/>
        <v>0</v>
      </c>
      <c r="F50" s="132"/>
      <c r="G50" s="12">
        <f t="shared" si="0"/>
        <v>0</v>
      </c>
      <c r="H50" s="32">
        <f t="shared" si="1"/>
        <v>0</v>
      </c>
      <c r="I50" s="132">
        <f t="shared" si="6"/>
        <v>0</v>
      </c>
      <c r="J50" s="12">
        <f t="shared" si="2"/>
        <v>0</v>
      </c>
      <c r="K50" s="13">
        <f t="shared" si="3"/>
        <v>0</v>
      </c>
    </row>
    <row r="51" spans="1:11" s="1" customFormat="1" ht="15" customHeight="1">
      <c r="A51" s="4"/>
      <c r="B51" s="38" t="s">
        <v>68</v>
      </c>
      <c r="C51" s="147"/>
      <c r="D51" s="12">
        <f t="shared" si="4"/>
        <v>0</v>
      </c>
      <c r="E51" s="32">
        <f t="shared" si="5"/>
        <v>0</v>
      </c>
      <c r="F51" s="132"/>
      <c r="G51" s="12">
        <f t="shared" si="0"/>
        <v>0</v>
      </c>
      <c r="H51" s="32">
        <f t="shared" si="1"/>
        <v>0</v>
      </c>
      <c r="I51" s="132">
        <f t="shared" si="6"/>
        <v>0</v>
      </c>
      <c r="J51" s="12">
        <f t="shared" si="2"/>
        <v>0</v>
      </c>
      <c r="K51" s="13">
        <f t="shared" si="3"/>
        <v>0</v>
      </c>
    </row>
    <row r="52" spans="1:11" s="1" customFormat="1" ht="12.75">
      <c r="A52" s="4"/>
      <c r="B52" s="38" t="s">
        <v>72</v>
      </c>
      <c r="C52" s="147"/>
      <c r="D52" s="12">
        <f t="shared" si="4"/>
        <v>0</v>
      </c>
      <c r="E52" s="32">
        <f t="shared" si="5"/>
        <v>0</v>
      </c>
      <c r="F52" s="132"/>
      <c r="G52" s="12">
        <f t="shared" si="0"/>
        <v>0</v>
      </c>
      <c r="H52" s="32">
        <f t="shared" si="1"/>
        <v>0</v>
      </c>
      <c r="I52" s="132">
        <f t="shared" si="6"/>
        <v>0</v>
      </c>
      <c r="J52" s="12">
        <f t="shared" si="2"/>
        <v>0</v>
      </c>
      <c r="K52" s="13">
        <f t="shared" si="3"/>
        <v>0</v>
      </c>
    </row>
    <row r="53" spans="1:11" s="1" customFormat="1" ht="15" customHeight="1">
      <c r="A53" s="4"/>
      <c r="B53" s="38" t="s">
        <v>69</v>
      </c>
      <c r="C53" s="147"/>
      <c r="D53" s="12">
        <f t="shared" si="4"/>
        <v>0</v>
      </c>
      <c r="E53" s="32">
        <f t="shared" si="5"/>
        <v>0</v>
      </c>
      <c r="F53" s="132"/>
      <c r="G53" s="12">
        <f t="shared" si="0"/>
        <v>0</v>
      </c>
      <c r="H53" s="32">
        <f t="shared" si="1"/>
        <v>0</v>
      </c>
      <c r="I53" s="132">
        <f t="shared" si="6"/>
        <v>0</v>
      </c>
      <c r="J53" s="12">
        <f t="shared" si="2"/>
        <v>0</v>
      </c>
      <c r="K53" s="13">
        <f t="shared" si="3"/>
        <v>0</v>
      </c>
    </row>
    <row r="54" spans="1:11" s="1" customFormat="1" ht="12.75">
      <c r="A54" s="4"/>
      <c r="B54" s="38" t="s">
        <v>73</v>
      </c>
      <c r="C54" s="147"/>
      <c r="D54" s="12">
        <f t="shared" si="4"/>
        <v>0</v>
      </c>
      <c r="E54" s="32">
        <f t="shared" si="5"/>
        <v>0</v>
      </c>
      <c r="F54" s="132"/>
      <c r="G54" s="12">
        <f t="shared" si="0"/>
        <v>0</v>
      </c>
      <c r="H54" s="32">
        <f t="shared" si="1"/>
        <v>0</v>
      </c>
      <c r="I54" s="132">
        <f t="shared" si="6"/>
        <v>0</v>
      </c>
      <c r="J54" s="12">
        <f t="shared" si="2"/>
        <v>0</v>
      </c>
      <c r="K54" s="13">
        <f t="shared" si="3"/>
        <v>0</v>
      </c>
    </row>
    <row r="55" spans="1:11" s="1" customFormat="1" ht="15.75" customHeight="1">
      <c r="A55" s="4"/>
      <c r="B55" s="38" t="s">
        <v>70</v>
      </c>
      <c r="C55" s="147"/>
      <c r="D55" s="12">
        <f t="shared" si="4"/>
        <v>0</v>
      </c>
      <c r="E55" s="32">
        <f t="shared" si="5"/>
        <v>0</v>
      </c>
      <c r="F55" s="132"/>
      <c r="G55" s="12">
        <f t="shared" si="0"/>
        <v>0</v>
      </c>
      <c r="H55" s="32">
        <f t="shared" si="1"/>
        <v>0</v>
      </c>
      <c r="I55" s="132">
        <f t="shared" si="6"/>
        <v>0</v>
      </c>
      <c r="J55" s="12">
        <f t="shared" si="2"/>
        <v>0</v>
      </c>
      <c r="K55" s="13">
        <f t="shared" si="3"/>
        <v>0</v>
      </c>
    </row>
    <row r="56" spans="1:11" s="1" customFormat="1" ht="12.75">
      <c r="A56" s="4"/>
      <c r="B56" s="38" t="s">
        <v>74</v>
      </c>
      <c r="C56" s="147"/>
      <c r="D56" s="12">
        <f t="shared" si="4"/>
        <v>0</v>
      </c>
      <c r="E56" s="32">
        <f t="shared" si="5"/>
        <v>0</v>
      </c>
      <c r="F56" s="132"/>
      <c r="G56" s="12">
        <f t="shared" si="0"/>
        <v>0</v>
      </c>
      <c r="H56" s="32">
        <f t="shared" si="1"/>
        <v>0</v>
      </c>
      <c r="I56" s="132">
        <f t="shared" si="6"/>
        <v>0</v>
      </c>
      <c r="J56" s="12">
        <f t="shared" si="2"/>
        <v>0</v>
      </c>
      <c r="K56" s="13">
        <f t="shared" si="3"/>
        <v>0</v>
      </c>
    </row>
    <row r="57" spans="1:11" s="1" customFormat="1" ht="16.5" customHeight="1" thickBot="1">
      <c r="A57" s="4"/>
      <c r="B57" s="38" t="s">
        <v>33</v>
      </c>
      <c r="C57" s="139"/>
      <c r="D57" s="12">
        <f t="shared" si="4"/>
        <v>0</v>
      </c>
      <c r="E57" s="139"/>
      <c r="F57" s="139"/>
      <c r="G57" s="12">
        <f t="shared" si="0"/>
        <v>0</v>
      </c>
      <c r="H57" s="32">
        <f>F57*100/F$58</f>
        <v>0</v>
      </c>
      <c r="I57" s="132">
        <f t="shared" si="6"/>
        <v>0</v>
      </c>
      <c r="J57" s="12">
        <f t="shared" si="2"/>
        <v>0</v>
      </c>
      <c r="K57" s="13">
        <f t="shared" si="3"/>
        <v>0</v>
      </c>
    </row>
    <row r="58" spans="1:11" s="6" customFormat="1" ht="18.75" customHeight="1" thickBot="1">
      <c r="A58" s="82"/>
      <c r="B58" s="144" t="s">
        <v>22</v>
      </c>
      <c r="C58" s="148">
        <f>C48+C47+C46+C43+C38+C34+C33+C32+C27+C22+C18+C17+C16+C14+C13+C11+C10+C8+C5</f>
        <v>872</v>
      </c>
      <c r="D58" s="12">
        <f t="shared" si="4"/>
        <v>260.3762317109585</v>
      </c>
      <c r="E58" s="95"/>
      <c r="F58" s="148">
        <f>F48+F47+F46+F43+F38+F34+F33+F32+F27+F22+F18+F17+F16+F14+F13+F11+F10+F8+F5</f>
        <v>3686</v>
      </c>
      <c r="G58" s="213">
        <f t="shared" si="0"/>
        <v>198.46013029666722</v>
      </c>
      <c r="H58" s="95"/>
      <c r="I58" s="145">
        <f>I48+I47+I46+I43+I38+I34+I33+I32+I27+I22+I18+I17+I16+I14+I13+I11+I10+I8+I5</f>
        <v>4558</v>
      </c>
      <c r="J58" s="214">
        <f t="shared" si="2"/>
        <v>207.91898549402427</v>
      </c>
      <c r="K58" s="97"/>
    </row>
    <row r="59" spans="1:11" s="6" customFormat="1" ht="22.5" customHeight="1">
      <c r="A59" s="15"/>
      <c r="B59" s="235"/>
      <c r="C59" s="235"/>
      <c r="D59" s="235"/>
      <c r="E59" s="235"/>
      <c r="F59" s="235"/>
      <c r="G59" s="235"/>
      <c r="H59" s="235"/>
      <c r="I59" s="236"/>
      <c r="J59" s="236"/>
      <c r="K59" s="236"/>
    </row>
  </sheetData>
  <sheetProtection/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4330708661417323" bottom="0.6692913385826772" header="0" footer="0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75" zoomScaleNormal="75" zoomScalePageLayoutView="0" workbookViewId="0" topLeftCell="A1">
      <pane xSplit="1" ySplit="4" topLeftCell="B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G24" sqref="G24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37" t="s">
        <v>91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20.25" customHeight="1" thickBot="1">
      <c r="A2" s="21"/>
      <c r="B2" s="22"/>
      <c r="C2" s="2"/>
      <c r="D2" s="2">
        <v>5147</v>
      </c>
      <c r="F2" s="233"/>
      <c r="G2" s="3">
        <v>33083</v>
      </c>
      <c r="I2" s="233"/>
      <c r="J2" s="2">
        <f>SUM(D2:G2)</f>
        <v>38230</v>
      </c>
      <c r="K2" s="2"/>
    </row>
    <row r="3" spans="1:11" ht="12.75">
      <c r="A3" s="239" t="s">
        <v>24</v>
      </c>
      <c r="B3" s="241" t="s">
        <v>5</v>
      </c>
      <c r="C3" s="130" t="s">
        <v>1</v>
      </c>
      <c r="D3" s="129"/>
      <c r="E3" s="129"/>
      <c r="F3" s="130" t="s">
        <v>2</v>
      </c>
      <c r="G3" s="129"/>
      <c r="H3" s="129"/>
      <c r="I3" s="130" t="s">
        <v>3</v>
      </c>
      <c r="J3" s="129"/>
      <c r="K3" s="131"/>
    </row>
    <row r="4" spans="1:11" ht="33.75" customHeight="1" thickBot="1">
      <c r="A4" s="250"/>
      <c r="B4" s="242"/>
      <c r="C4" s="126" t="s">
        <v>6</v>
      </c>
      <c r="D4" s="124" t="s">
        <v>7</v>
      </c>
      <c r="E4" s="125" t="s">
        <v>8</v>
      </c>
      <c r="F4" s="126" t="s">
        <v>6</v>
      </c>
      <c r="G4" s="124" t="s">
        <v>7</v>
      </c>
      <c r="H4" s="125" t="s">
        <v>8</v>
      </c>
      <c r="I4" s="126" t="s">
        <v>6</v>
      </c>
      <c r="J4" s="124" t="s">
        <v>7</v>
      </c>
      <c r="K4" s="127" t="s">
        <v>8</v>
      </c>
    </row>
    <row r="5" spans="1:11" ht="16.5" customHeight="1" thickBot="1">
      <c r="A5" s="90" t="s">
        <v>9</v>
      </c>
      <c r="B5" s="154" t="s">
        <v>26</v>
      </c>
      <c r="C5" s="145"/>
      <c r="D5" s="94">
        <f aca="true" t="shared" si="0" ref="D5:D58">C5*1000/$D$2</f>
        <v>0</v>
      </c>
      <c r="E5" s="95">
        <f aca="true" t="shared" si="1" ref="E5:E56">C5*100/C$58</f>
        <v>0</v>
      </c>
      <c r="F5" s="135">
        <v>1</v>
      </c>
      <c r="G5" s="94">
        <f aca="true" t="shared" si="2" ref="G5:G58">F5*1000/$G$2</f>
        <v>0.030227004806093763</v>
      </c>
      <c r="H5" s="95">
        <f aca="true" t="shared" si="3" ref="H5:H56">F5*100/F$58</f>
        <v>0.03745318352059925</v>
      </c>
      <c r="I5" s="145">
        <f aca="true" t="shared" si="4" ref="I5:I57">SUM(C5,F5)</f>
        <v>1</v>
      </c>
      <c r="J5" s="94">
        <f aca="true" t="shared" si="5" ref="J5:J58">I5*1000/$J$2</f>
        <v>0.026157467957101752</v>
      </c>
      <c r="K5" s="97">
        <f aca="true" t="shared" si="6" ref="K5:K57">I5*100/I$58</f>
        <v>0.03258390355164549</v>
      </c>
    </row>
    <row r="6" spans="1:11" s="1" customFormat="1" ht="12.75" customHeight="1">
      <c r="A6" s="4"/>
      <c r="B6" s="40" t="s">
        <v>36</v>
      </c>
      <c r="C6" s="146"/>
      <c r="D6" s="18">
        <f t="shared" si="0"/>
        <v>0</v>
      </c>
      <c r="E6" s="31">
        <f t="shared" si="1"/>
        <v>0</v>
      </c>
      <c r="F6" s="138"/>
      <c r="G6" s="18">
        <f t="shared" si="2"/>
        <v>0</v>
      </c>
      <c r="H6" s="31">
        <f t="shared" si="3"/>
        <v>0</v>
      </c>
      <c r="I6" s="138">
        <f t="shared" si="4"/>
        <v>0</v>
      </c>
      <c r="J6" s="18">
        <f t="shared" si="5"/>
        <v>0</v>
      </c>
      <c r="K6" s="19">
        <f t="shared" si="6"/>
        <v>0</v>
      </c>
    </row>
    <row r="7" spans="1:11" s="1" customFormat="1" ht="14.25" customHeight="1" thickBot="1">
      <c r="A7" s="4"/>
      <c r="B7" s="39" t="s">
        <v>37</v>
      </c>
      <c r="C7" s="147"/>
      <c r="D7" s="12">
        <f t="shared" si="0"/>
        <v>0</v>
      </c>
      <c r="E7" s="32">
        <f t="shared" si="1"/>
        <v>0</v>
      </c>
      <c r="F7" s="133">
        <v>1</v>
      </c>
      <c r="G7" s="14">
        <f t="shared" si="2"/>
        <v>0.030227004806093763</v>
      </c>
      <c r="H7" s="35">
        <f t="shared" si="3"/>
        <v>0.03745318352059925</v>
      </c>
      <c r="I7" s="140">
        <f t="shared" si="4"/>
        <v>1</v>
      </c>
      <c r="J7" s="14">
        <f t="shared" si="5"/>
        <v>0.026157467957101752</v>
      </c>
      <c r="K7" s="13">
        <f t="shared" si="6"/>
        <v>0.03258390355164549</v>
      </c>
    </row>
    <row r="8" spans="1:11" ht="13.5" customHeight="1" thickBot="1">
      <c r="A8" s="90" t="s">
        <v>10</v>
      </c>
      <c r="B8" s="100" t="s">
        <v>38</v>
      </c>
      <c r="C8" s="148"/>
      <c r="D8" s="94">
        <f t="shared" si="0"/>
        <v>0</v>
      </c>
      <c r="E8" s="95">
        <f t="shared" si="1"/>
        <v>0</v>
      </c>
      <c r="F8" s="135"/>
      <c r="G8" s="94">
        <f t="shared" si="2"/>
        <v>0</v>
      </c>
      <c r="H8" s="95">
        <f t="shared" si="3"/>
        <v>0</v>
      </c>
      <c r="I8" s="145">
        <f t="shared" si="4"/>
        <v>0</v>
      </c>
      <c r="J8" s="94">
        <f t="shared" si="5"/>
        <v>0</v>
      </c>
      <c r="K8" s="97">
        <f t="shared" si="6"/>
        <v>0</v>
      </c>
    </row>
    <row r="9" spans="1:11" s="1" customFormat="1" ht="15" customHeight="1" thickBot="1">
      <c r="A9" s="16"/>
      <c r="B9" s="40" t="s">
        <v>39</v>
      </c>
      <c r="C9" s="146"/>
      <c r="D9" s="18">
        <f t="shared" si="0"/>
        <v>0</v>
      </c>
      <c r="E9" s="31">
        <f t="shared" si="1"/>
        <v>0</v>
      </c>
      <c r="F9" s="133"/>
      <c r="G9" s="18">
        <f t="shared" si="2"/>
        <v>0</v>
      </c>
      <c r="H9" s="31">
        <f t="shared" si="3"/>
        <v>0</v>
      </c>
      <c r="I9" s="138">
        <f t="shared" si="4"/>
        <v>0</v>
      </c>
      <c r="J9" s="18">
        <f t="shared" si="5"/>
        <v>0</v>
      </c>
      <c r="K9" s="19">
        <f t="shared" si="6"/>
        <v>0</v>
      </c>
    </row>
    <row r="10" spans="1:11" s="6" customFormat="1" ht="15.75" customHeight="1" thickBot="1">
      <c r="A10" s="91" t="s">
        <v>11</v>
      </c>
      <c r="B10" s="92" t="s">
        <v>40</v>
      </c>
      <c r="C10" s="148"/>
      <c r="D10" s="94">
        <f t="shared" si="0"/>
        <v>0</v>
      </c>
      <c r="E10" s="95">
        <f t="shared" si="1"/>
        <v>0</v>
      </c>
      <c r="F10" s="135"/>
      <c r="G10" s="94">
        <f t="shared" si="2"/>
        <v>0</v>
      </c>
      <c r="H10" s="95">
        <f t="shared" si="3"/>
        <v>0</v>
      </c>
      <c r="I10" s="145">
        <f t="shared" si="4"/>
        <v>0</v>
      </c>
      <c r="J10" s="94">
        <f t="shared" si="5"/>
        <v>0</v>
      </c>
      <c r="K10" s="97">
        <f t="shared" si="6"/>
        <v>0</v>
      </c>
    </row>
    <row r="11" spans="1:11" s="6" customFormat="1" ht="30" customHeight="1" thickBot="1">
      <c r="A11" s="98" t="s">
        <v>12</v>
      </c>
      <c r="B11" s="92" t="s">
        <v>41</v>
      </c>
      <c r="C11" s="148"/>
      <c r="D11" s="94">
        <f t="shared" si="0"/>
        <v>0</v>
      </c>
      <c r="E11" s="95">
        <f t="shared" si="1"/>
        <v>0</v>
      </c>
      <c r="F11" s="135">
        <f>39+41+3</f>
        <v>83</v>
      </c>
      <c r="G11" s="94">
        <f t="shared" si="2"/>
        <v>2.5088413989057825</v>
      </c>
      <c r="H11" s="95">
        <f t="shared" si="3"/>
        <v>3.108614232209738</v>
      </c>
      <c r="I11" s="145">
        <f t="shared" si="4"/>
        <v>83</v>
      </c>
      <c r="J11" s="94">
        <f t="shared" si="5"/>
        <v>2.1710698404394453</v>
      </c>
      <c r="K11" s="97">
        <f t="shared" si="6"/>
        <v>2.7044639947865754</v>
      </c>
    </row>
    <row r="12" spans="1:11" s="6" customFormat="1" ht="16.5" customHeight="1" thickBot="1">
      <c r="A12" s="17"/>
      <c r="B12" s="41" t="s">
        <v>78</v>
      </c>
      <c r="C12" s="149"/>
      <c r="D12" s="29">
        <f t="shared" si="0"/>
        <v>0</v>
      </c>
      <c r="E12" s="34">
        <f t="shared" si="1"/>
        <v>0</v>
      </c>
      <c r="F12" s="133">
        <v>80</v>
      </c>
      <c r="G12" s="29">
        <f t="shared" si="2"/>
        <v>2.4181603844875013</v>
      </c>
      <c r="H12" s="34">
        <f t="shared" si="3"/>
        <v>2.9962546816479403</v>
      </c>
      <c r="I12" s="133">
        <f t="shared" si="4"/>
        <v>80</v>
      </c>
      <c r="J12" s="29">
        <f t="shared" si="5"/>
        <v>2.0925974365681403</v>
      </c>
      <c r="K12" s="30">
        <f t="shared" si="6"/>
        <v>2.606712284131639</v>
      </c>
    </row>
    <row r="13" spans="1:11" s="6" customFormat="1" ht="15" customHeight="1" thickBot="1">
      <c r="A13" s="99" t="s">
        <v>13</v>
      </c>
      <c r="B13" s="100" t="s">
        <v>42</v>
      </c>
      <c r="C13" s="162"/>
      <c r="D13" s="102">
        <f t="shared" si="0"/>
        <v>0</v>
      </c>
      <c r="E13" s="103">
        <f t="shared" si="1"/>
        <v>0</v>
      </c>
      <c r="F13" s="135"/>
      <c r="G13" s="102">
        <f t="shared" si="2"/>
        <v>0</v>
      </c>
      <c r="H13" s="103">
        <f t="shared" si="3"/>
        <v>0</v>
      </c>
      <c r="I13" s="163">
        <f t="shared" si="4"/>
        <v>0</v>
      </c>
      <c r="J13" s="102">
        <f t="shared" si="5"/>
        <v>0</v>
      </c>
      <c r="K13" s="104">
        <f t="shared" si="6"/>
        <v>0</v>
      </c>
    </row>
    <row r="14" spans="1:11" s="6" customFormat="1" ht="15.75" customHeight="1" thickBot="1">
      <c r="A14" s="98" t="s">
        <v>14</v>
      </c>
      <c r="B14" s="92" t="s">
        <v>43</v>
      </c>
      <c r="C14" s="148"/>
      <c r="D14" s="94">
        <f t="shared" si="0"/>
        <v>0</v>
      </c>
      <c r="E14" s="95">
        <f t="shared" si="1"/>
        <v>0</v>
      </c>
      <c r="F14" s="135">
        <f>87+90</f>
        <v>177</v>
      </c>
      <c r="G14" s="94">
        <f t="shared" si="2"/>
        <v>5.350179850678597</v>
      </c>
      <c r="H14" s="95">
        <f t="shared" si="3"/>
        <v>6.629213483146067</v>
      </c>
      <c r="I14" s="145">
        <f t="shared" si="4"/>
        <v>177</v>
      </c>
      <c r="J14" s="94">
        <f t="shared" si="5"/>
        <v>4.62987182840701</v>
      </c>
      <c r="K14" s="113">
        <f t="shared" si="6"/>
        <v>5.767350928641251</v>
      </c>
    </row>
    <row r="15" spans="1:11" s="1" customFormat="1" ht="15.75" customHeight="1" thickBot="1">
      <c r="A15" s="4"/>
      <c r="B15" s="42" t="s">
        <v>44</v>
      </c>
      <c r="C15" s="150"/>
      <c r="D15" s="14">
        <f t="shared" si="0"/>
        <v>0</v>
      </c>
      <c r="E15" s="35">
        <f t="shared" si="1"/>
        <v>0</v>
      </c>
      <c r="F15" s="133"/>
      <c r="G15" s="14">
        <f t="shared" si="2"/>
        <v>0</v>
      </c>
      <c r="H15" s="35">
        <f t="shared" si="3"/>
        <v>0</v>
      </c>
      <c r="I15" s="140">
        <f t="shared" si="4"/>
        <v>0</v>
      </c>
      <c r="J15" s="14">
        <f t="shared" si="5"/>
        <v>0</v>
      </c>
      <c r="K15" s="20">
        <f t="shared" si="6"/>
        <v>0</v>
      </c>
    </row>
    <row r="16" spans="1:11" s="1" customFormat="1" ht="16.5" customHeight="1" thickBot="1">
      <c r="A16" s="105" t="s">
        <v>15</v>
      </c>
      <c r="B16" s="100" t="s">
        <v>27</v>
      </c>
      <c r="C16" s="151"/>
      <c r="D16" s="107">
        <f t="shared" si="0"/>
        <v>0</v>
      </c>
      <c r="E16" s="108">
        <f t="shared" si="1"/>
        <v>0</v>
      </c>
      <c r="F16" s="135"/>
      <c r="G16" s="107">
        <f t="shared" si="2"/>
        <v>0</v>
      </c>
      <c r="H16" s="108">
        <f t="shared" si="3"/>
        <v>0</v>
      </c>
      <c r="I16" s="135">
        <f t="shared" si="4"/>
        <v>0</v>
      </c>
      <c r="J16" s="107">
        <f t="shared" si="5"/>
        <v>0</v>
      </c>
      <c r="K16" s="109">
        <f t="shared" si="6"/>
        <v>0</v>
      </c>
    </row>
    <row r="17" spans="1:11" s="6" customFormat="1" ht="18" customHeight="1" thickBot="1">
      <c r="A17" s="110" t="s">
        <v>16</v>
      </c>
      <c r="B17" s="92" t="s">
        <v>45</v>
      </c>
      <c r="C17" s="148"/>
      <c r="D17" s="94">
        <f t="shared" si="0"/>
        <v>0</v>
      </c>
      <c r="E17" s="95">
        <f t="shared" si="1"/>
        <v>0</v>
      </c>
      <c r="F17" s="137">
        <f>99+72</f>
        <v>171</v>
      </c>
      <c r="G17" s="94">
        <f t="shared" si="2"/>
        <v>5.168817821842033</v>
      </c>
      <c r="H17" s="95">
        <f t="shared" si="3"/>
        <v>6.404494382022472</v>
      </c>
      <c r="I17" s="145">
        <f t="shared" si="4"/>
        <v>171</v>
      </c>
      <c r="J17" s="94">
        <f t="shared" si="5"/>
        <v>4.472927020664399</v>
      </c>
      <c r="K17" s="97">
        <f t="shared" si="6"/>
        <v>5.571847507331379</v>
      </c>
    </row>
    <row r="18" spans="1:11" s="6" customFormat="1" ht="18" customHeight="1" thickBot="1">
      <c r="A18" s="98" t="s">
        <v>17</v>
      </c>
      <c r="B18" s="156" t="s">
        <v>46</v>
      </c>
      <c r="C18" s="148"/>
      <c r="D18" s="94">
        <f t="shared" si="0"/>
        <v>0</v>
      </c>
      <c r="E18" s="95">
        <f t="shared" si="1"/>
        <v>0</v>
      </c>
      <c r="F18" s="135">
        <f>597+39+164+9</f>
        <v>809</v>
      </c>
      <c r="G18" s="94">
        <f t="shared" si="2"/>
        <v>24.453646888129857</v>
      </c>
      <c r="H18" s="95">
        <f t="shared" si="3"/>
        <v>30.299625468164795</v>
      </c>
      <c r="I18" s="145">
        <f t="shared" si="4"/>
        <v>809</v>
      </c>
      <c r="J18" s="94">
        <f t="shared" si="5"/>
        <v>21.16139157729532</v>
      </c>
      <c r="K18" s="97">
        <f t="shared" si="6"/>
        <v>26.3603779732812</v>
      </c>
    </row>
    <row r="19" spans="1:11" s="1" customFormat="1" ht="14.25" customHeight="1">
      <c r="A19" s="4"/>
      <c r="B19" s="38" t="s">
        <v>47</v>
      </c>
      <c r="C19" s="146"/>
      <c r="D19" s="18">
        <f t="shared" si="0"/>
        <v>0</v>
      </c>
      <c r="E19" s="31">
        <f t="shared" si="1"/>
        <v>0</v>
      </c>
      <c r="F19" s="138"/>
      <c r="G19" s="18">
        <f t="shared" si="2"/>
        <v>0</v>
      </c>
      <c r="H19" s="31">
        <f t="shared" si="3"/>
        <v>0</v>
      </c>
      <c r="I19" s="138">
        <f t="shared" si="4"/>
        <v>0</v>
      </c>
      <c r="J19" s="18">
        <f t="shared" si="5"/>
        <v>0</v>
      </c>
      <c r="K19" s="19">
        <f t="shared" si="6"/>
        <v>0</v>
      </c>
    </row>
    <row r="20" spans="1:11" s="1" customFormat="1" ht="15.75" customHeight="1">
      <c r="A20" s="4"/>
      <c r="B20" s="38" t="s">
        <v>48</v>
      </c>
      <c r="C20" s="132"/>
      <c r="D20" s="12">
        <f t="shared" si="0"/>
        <v>0</v>
      </c>
      <c r="E20" s="32">
        <f t="shared" si="1"/>
        <v>0</v>
      </c>
      <c r="F20" s="132">
        <f>14+1+17</f>
        <v>32</v>
      </c>
      <c r="G20" s="12">
        <f t="shared" si="2"/>
        <v>0.9672641537950004</v>
      </c>
      <c r="H20" s="32">
        <f t="shared" si="3"/>
        <v>1.198501872659176</v>
      </c>
      <c r="I20" s="132">
        <f t="shared" si="4"/>
        <v>32</v>
      </c>
      <c r="J20" s="12">
        <f t="shared" si="5"/>
        <v>0.8370389746272561</v>
      </c>
      <c r="K20" s="13">
        <f t="shared" si="6"/>
        <v>1.0426849136526557</v>
      </c>
    </row>
    <row r="21" spans="1:11" s="1" customFormat="1" ht="16.5" customHeight="1" thickBot="1">
      <c r="A21" s="4"/>
      <c r="B21" s="38" t="s">
        <v>49</v>
      </c>
      <c r="C21" s="132"/>
      <c r="D21" s="12">
        <f t="shared" si="0"/>
        <v>0</v>
      </c>
      <c r="E21" s="32">
        <f t="shared" si="1"/>
        <v>0</v>
      </c>
      <c r="F21" s="133">
        <f>190+30+58+5</f>
        <v>283</v>
      </c>
      <c r="G21" s="12">
        <f t="shared" si="2"/>
        <v>8.554242360124535</v>
      </c>
      <c r="H21" s="32">
        <f t="shared" si="3"/>
        <v>10.599250936329588</v>
      </c>
      <c r="I21" s="132">
        <f t="shared" si="4"/>
        <v>283</v>
      </c>
      <c r="J21" s="12">
        <f t="shared" si="5"/>
        <v>7.402563431859796</v>
      </c>
      <c r="K21" s="13">
        <f t="shared" si="6"/>
        <v>9.221244705115673</v>
      </c>
    </row>
    <row r="22" spans="1:11" s="6" customFormat="1" ht="15.75" customHeight="1" thickBot="1">
      <c r="A22" s="98" t="s">
        <v>28</v>
      </c>
      <c r="B22" s="92" t="s">
        <v>50</v>
      </c>
      <c r="C22" s="148">
        <v>334</v>
      </c>
      <c r="D22" s="94">
        <f t="shared" si="0"/>
        <v>64.89217019623081</v>
      </c>
      <c r="E22" s="95">
        <f t="shared" si="1"/>
        <v>83.70927318295739</v>
      </c>
      <c r="F22" s="135">
        <f>265+404+8</f>
        <v>677</v>
      </c>
      <c r="G22" s="94">
        <f t="shared" si="2"/>
        <v>20.46368225372548</v>
      </c>
      <c r="H22" s="95">
        <f t="shared" si="3"/>
        <v>25.355805243445694</v>
      </c>
      <c r="I22" s="145">
        <f t="shared" si="4"/>
        <v>1011</v>
      </c>
      <c r="J22" s="94">
        <f t="shared" si="5"/>
        <v>26.445200104629873</v>
      </c>
      <c r="K22" s="97">
        <f t="shared" si="6"/>
        <v>32.94232649071359</v>
      </c>
    </row>
    <row r="23" spans="1:11" s="1" customFormat="1" ht="15.75" customHeight="1">
      <c r="A23" s="4"/>
      <c r="B23" s="40" t="s">
        <v>51</v>
      </c>
      <c r="C23" s="146"/>
      <c r="D23" s="18">
        <f t="shared" si="0"/>
        <v>0</v>
      </c>
      <c r="E23" s="31">
        <f t="shared" si="1"/>
        <v>0</v>
      </c>
      <c r="F23" s="138"/>
      <c r="G23" s="18">
        <f t="shared" si="2"/>
        <v>0</v>
      </c>
      <c r="H23" s="31">
        <f t="shared" si="3"/>
        <v>0</v>
      </c>
      <c r="I23" s="138">
        <f t="shared" si="4"/>
        <v>0</v>
      </c>
      <c r="J23" s="18">
        <f t="shared" si="5"/>
        <v>0</v>
      </c>
      <c r="K23" s="19">
        <f t="shared" si="6"/>
        <v>0</v>
      </c>
    </row>
    <row r="24" spans="1:11" s="1" customFormat="1" ht="14.25" customHeight="1">
      <c r="A24" s="4"/>
      <c r="B24" s="38" t="s">
        <v>52</v>
      </c>
      <c r="C24" s="147">
        <v>227</v>
      </c>
      <c r="D24" s="12">
        <f t="shared" si="0"/>
        <v>44.10336118127064</v>
      </c>
      <c r="E24" s="32">
        <f t="shared" si="1"/>
        <v>56.8922305764411</v>
      </c>
      <c r="F24" s="132">
        <f>174+23+6+144+11</f>
        <v>358</v>
      </c>
      <c r="G24" s="12">
        <f t="shared" si="2"/>
        <v>10.821267720581568</v>
      </c>
      <c r="H24" s="32">
        <f t="shared" si="3"/>
        <v>13.408239700374532</v>
      </c>
      <c r="I24" s="132">
        <f t="shared" si="4"/>
        <v>585</v>
      </c>
      <c r="J24" s="12">
        <f t="shared" si="5"/>
        <v>15.302118754904525</v>
      </c>
      <c r="K24" s="13">
        <f t="shared" si="6"/>
        <v>19.06158357771261</v>
      </c>
    </row>
    <row r="25" spans="1:11" s="1" customFormat="1" ht="15.75" customHeight="1">
      <c r="A25" s="4"/>
      <c r="B25" s="38" t="s">
        <v>85</v>
      </c>
      <c r="C25" s="147"/>
      <c r="D25" s="12">
        <f t="shared" si="0"/>
        <v>0</v>
      </c>
      <c r="E25" s="32">
        <f t="shared" si="1"/>
        <v>0</v>
      </c>
      <c r="F25" s="132">
        <f>21+93+1</f>
        <v>115</v>
      </c>
      <c r="G25" s="12">
        <f t="shared" si="2"/>
        <v>3.476105552700783</v>
      </c>
      <c r="H25" s="32">
        <f t="shared" si="3"/>
        <v>4.307116104868914</v>
      </c>
      <c r="I25" s="132">
        <f t="shared" si="4"/>
        <v>115</v>
      </c>
      <c r="J25" s="12">
        <f t="shared" si="5"/>
        <v>3.0081088150667017</v>
      </c>
      <c r="K25" s="13">
        <f t="shared" si="6"/>
        <v>3.747148908439231</v>
      </c>
    </row>
    <row r="26" spans="1:11" s="1" customFormat="1" ht="13.5" thickBot="1">
      <c r="A26" s="4"/>
      <c r="B26" s="38" t="s">
        <v>86</v>
      </c>
      <c r="C26" s="147"/>
      <c r="D26" s="12">
        <f t="shared" si="0"/>
        <v>0</v>
      </c>
      <c r="E26" s="32">
        <f t="shared" si="1"/>
        <v>0</v>
      </c>
      <c r="F26" s="133">
        <v>3</v>
      </c>
      <c r="G26" s="12">
        <f t="shared" si="2"/>
        <v>0.09068101441828129</v>
      </c>
      <c r="H26" s="32">
        <f t="shared" si="3"/>
        <v>0.11235955056179775</v>
      </c>
      <c r="I26" s="132">
        <f t="shared" si="4"/>
        <v>3</v>
      </c>
      <c r="J26" s="12">
        <f t="shared" si="5"/>
        <v>0.07847240387130526</v>
      </c>
      <c r="K26" s="13">
        <f t="shared" si="6"/>
        <v>0.09775171065493646</v>
      </c>
    </row>
    <row r="27" spans="1:11" s="6" customFormat="1" ht="14.25" customHeight="1" thickBot="1">
      <c r="A27" s="98" t="s">
        <v>18</v>
      </c>
      <c r="B27" s="92" t="s">
        <v>53</v>
      </c>
      <c r="C27" s="148">
        <v>13</v>
      </c>
      <c r="D27" s="94">
        <f t="shared" si="0"/>
        <v>2.525743151350301</v>
      </c>
      <c r="E27" s="95">
        <f t="shared" si="1"/>
        <v>3.2581453634085213</v>
      </c>
      <c r="F27" s="135">
        <f>86+66+1</f>
        <v>153</v>
      </c>
      <c r="G27" s="94">
        <f t="shared" si="2"/>
        <v>4.624731735332346</v>
      </c>
      <c r="H27" s="95">
        <f t="shared" si="3"/>
        <v>5.730337078651686</v>
      </c>
      <c r="I27" s="145">
        <f t="shared" si="4"/>
        <v>166</v>
      </c>
      <c r="J27" s="94">
        <f t="shared" si="5"/>
        <v>4.342139680878891</v>
      </c>
      <c r="K27" s="97">
        <f t="shared" si="6"/>
        <v>5.408927989573151</v>
      </c>
    </row>
    <row r="28" spans="1:11" s="1" customFormat="1" ht="15" customHeight="1">
      <c r="A28" s="4"/>
      <c r="B28" s="40" t="s">
        <v>54</v>
      </c>
      <c r="C28" s="146"/>
      <c r="D28" s="18">
        <f t="shared" si="0"/>
        <v>0</v>
      </c>
      <c r="E28" s="31">
        <f t="shared" si="1"/>
        <v>0</v>
      </c>
      <c r="F28" s="138">
        <v>10</v>
      </c>
      <c r="G28" s="18">
        <f>F28*1000/$G$2</f>
        <v>0.30227004806093766</v>
      </c>
      <c r="H28" s="31">
        <f t="shared" si="3"/>
        <v>0.37453183520599254</v>
      </c>
      <c r="I28" s="138">
        <f t="shared" si="4"/>
        <v>10</v>
      </c>
      <c r="J28" s="18">
        <f t="shared" si="5"/>
        <v>0.26157467957101754</v>
      </c>
      <c r="K28" s="19">
        <f t="shared" si="6"/>
        <v>0.3258390355164549</v>
      </c>
    </row>
    <row r="29" spans="1:11" s="1" customFormat="1" ht="15" customHeight="1">
      <c r="A29" s="4"/>
      <c r="B29" s="38" t="s">
        <v>55</v>
      </c>
      <c r="C29" s="147">
        <v>3</v>
      </c>
      <c r="D29" s="12">
        <f t="shared" si="0"/>
        <v>0.5828638041577618</v>
      </c>
      <c r="E29" s="32">
        <f t="shared" si="1"/>
        <v>0.7518796992481203</v>
      </c>
      <c r="F29" s="132">
        <v>1</v>
      </c>
      <c r="G29" s="12">
        <f t="shared" si="2"/>
        <v>0.030227004806093763</v>
      </c>
      <c r="H29" s="32">
        <f t="shared" si="3"/>
        <v>0.03745318352059925</v>
      </c>
      <c r="I29" s="132">
        <f t="shared" si="4"/>
        <v>4</v>
      </c>
      <c r="J29" s="12">
        <f t="shared" si="5"/>
        <v>0.10462987182840701</v>
      </c>
      <c r="K29" s="13">
        <f t="shared" si="6"/>
        <v>0.13033561420658196</v>
      </c>
    </row>
    <row r="30" spans="1:11" s="1" customFormat="1" ht="12.75">
      <c r="A30" s="4"/>
      <c r="B30" s="38" t="s">
        <v>56</v>
      </c>
      <c r="C30" s="147"/>
      <c r="D30" s="12">
        <f t="shared" si="0"/>
        <v>0</v>
      </c>
      <c r="E30" s="32">
        <f t="shared" si="1"/>
        <v>0</v>
      </c>
      <c r="F30" s="139">
        <v>7</v>
      </c>
      <c r="G30" s="12">
        <f t="shared" si="2"/>
        <v>0.21158903364265635</v>
      </c>
      <c r="H30" s="32">
        <f t="shared" si="3"/>
        <v>0.26217228464419473</v>
      </c>
      <c r="I30" s="132">
        <f t="shared" si="4"/>
        <v>7</v>
      </c>
      <c r="J30" s="12">
        <f t="shared" si="5"/>
        <v>0.18310227569971227</v>
      </c>
      <c r="K30" s="13">
        <f t="shared" si="6"/>
        <v>0.22808732486151842</v>
      </c>
    </row>
    <row r="31" spans="1:11" s="1" customFormat="1" ht="18" customHeight="1" thickBot="1">
      <c r="A31" s="5"/>
      <c r="B31" s="38" t="s">
        <v>57</v>
      </c>
      <c r="C31" s="147"/>
      <c r="D31" s="12">
        <f t="shared" si="0"/>
        <v>0</v>
      </c>
      <c r="E31" s="32">
        <f t="shared" si="1"/>
        <v>0</v>
      </c>
      <c r="F31" s="136">
        <v>2</v>
      </c>
      <c r="G31" s="12">
        <f t="shared" si="2"/>
        <v>0.060454009612187526</v>
      </c>
      <c r="H31" s="32">
        <f t="shared" si="3"/>
        <v>0.0749063670411985</v>
      </c>
      <c r="I31" s="132">
        <f t="shared" si="4"/>
        <v>2</v>
      </c>
      <c r="J31" s="12">
        <f t="shared" si="5"/>
        <v>0.052314935914203504</v>
      </c>
      <c r="K31" s="13">
        <f t="shared" si="6"/>
        <v>0.06516780710329098</v>
      </c>
    </row>
    <row r="32" spans="1:11" s="1" customFormat="1" ht="16.5" customHeight="1" thickBot="1">
      <c r="A32" s="99" t="s">
        <v>75</v>
      </c>
      <c r="B32" s="92" t="s">
        <v>61</v>
      </c>
      <c r="C32" s="148">
        <v>6</v>
      </c>
      <c r="D32" s="94">
        <f t="shared" si="0"/>
        <v>1.1657276083155237</v>
      </c>
      <c r="E32" s="95">
        <f t="shared" si="1"/>
        <v>1.5037593984962405</v>
      </c>
      <c r="F32" s="135">
        <f>175+1+115</f>
        <v>291</v>
      </c>
      <c r="G32" s="94">
        <f>F32*1000/$G$2</f>
        <v>8.796058398573285</v>
      </c>
      <c r="H32" s="95">
        <f t="shared" si="3"/>
        <v>10.898876404494382</v>
      </c>
      <c r="I32" s="145">
        <f>SUM(C32,F32)</f>
        <v>297</v>
      </c>
      <c r="J32" s="94">
        <f>I32*1000/$J$2</f>
        <v>7.76876798325922</v>
      </c>
      <c r="K32" s="97">
        <f t="shared" si="6"/>
        <v>9.67741935483871</v>
      </c>
    </row>
    <row r="33" spans="1:11" s="1" customFormat="1" ht="26.25" thickBot="1">
      <c r="A33" s="99" t="s">
        <v>76</v>
      </c>
      <c r="B33" s="92" t="s">
        <v>62</v>
      </c>
      <c r="C33" s="148"/>
      <c r="D33" s="94">
        <f t="shared" si="0"/>
        <v>0</v>
      </c>
      <c r="E33" s="95">
        <f t="shared" si="1"/>
        <v>0</v>
      </c>
      <c r="F33" s="135">
        <f>94+77+1</f>
        <v>172</v>
      </c>
      <c r="G33" s="94">
        <f>F33*1000/$G$2</f>
        <v>5.1990448266481275</v>
      </c>
      <c r="H33" s="95">
        <f t="shared" si="3"/>
        <v>6.441947565543071</v>
      </c>
      <c r="I33" s="145">
        <f>SUM(C33,F33)</f>
        <v>172</v>
      </c>
      <c r="J33" s="94">
        <f>I33*1000/$J$2</f>
        <v>4.499084488621501</v>
      </c>
      <c r="K33" s="97">
        <f t="shared" si="6"/>
        <v>5.6044314108830235</v>
      </c>
    </row>
    <row r="34" spans="1:11" s="6" customFormat="1" ht="21" customHeight="1" thickBot="1">
      <c r="A34" s="98" t="s">
        <v>19</v>
      </c>
      <c r="B34" s="92" t="s">
        <v>58</v>
      </c>
      <c r="C34" s="148">
        <v>46</v>
      </c>
      <c r="D34" s="94">
        <f t="shared" si="0"/>
        <v>8.937244997085681</v>
      </c>
      <c r="E34" s="95">
        <f t="shared" si="1"/>
        <v>11.528822055137844</v>
      </c>
      <c r="F34" s="135">
        <f>43+72</f>
        <v>115</v>
      </c>
      <c r="G34" s="94">
        <f t="shared" si="2"/>
        <v>3.476105552700783</v>
      </c>
      <c r="H34" s="95">
        <f t="shared" si="3"/>
        <v>4.307116104868914</v>
      </c>
      <c r="I34" s="145">
        <f t="shared" si="4"/>
        <v>161</v>
      </c>
      <c r="J34" s="94">
        <f t="shared" si="5"/>
        <v>4.211352341093382</v>
      </c>
      <c r="K34" s="97">
        <f t="shared" si="6"/>
        <v>5.246008471814924</v>
      </c>
    </row>
    <row r="35" spans="1:11" s="1" customFormat="1" ht="12.75">
      <c r="A35" s="4"/>
      <c r="B35" s="40" t="s">
        <v>59</v>
      </c>
      <c r="C35" s="146">
        <v>46</v>
      </c>
      <c r="D35" s="25">
        <f t="shared" si="0"/>
        <v>8.937244997085681</v>
      </c>
      <c r="E35" s="36">
        <f t="shared" si="1"/>
        <v>11.528822055137844</v>
      </c>
      <c r="F35" s="138">
        <v>115</v>
      </c>
      <c r="G35" s="25">
        <f t="shared" si="2"/>
        <v>3.476105552700783</v>
      </c>
      <c r="H35" s="36">
        <f t="shared" si="3"/>
        <v>4.307116104868914</v>
      </c>
      <c r="I35" s="138">
        <f t="shared" si="4"/>
        <v>161</v>
      </c>
      <c r="J35" s="25">
        <f t="shared" si="5"/>
        <v>4.211352341093382</v>
      </c>
      <c r="K35" s="26">
        <f t="shared" si="6"/>
        <v>5.246008471814924</v>
      </c>
    </row>
    <row r="36" spans="1:11" s="1" customFormat="1" ht="13.5" customHeight="1">
      <c r="A36" s="4"/>
      <c r="B36" s="43" t="s">
        <v>31</v>
      </c>
      <c r="C36" s="147">
        <v>44</v>
      </c>
      <c r="D36" s="27">
        <f t="shared" si="0"/>
        <v>8.548669127647173</v>
      </c>
      <c r="E36" s="37">
        <f t="shared" si="1"/>
        <v>11.027568922305765</v>
      </c>
      <c r="F36" s="132">
        <f>63+36</f>
        <v>99</v>
      </c>
      <c r="G36" s="27">
        <f t="shared" si="2"/>
        <v>2.9924734758032825</v>
      </c>
      <c r="H36" s="37">
        <f t="shared" si="3"/>
        <v>3.707865168539326</v>
      </c>
      <c r="I36" s="132">
        <f t="shared" si="4"/>
        <v>143</v>
      </c>
      <c r="J36" s="27">
        <f t="shared" si="5"/>
        <v>3.7405179178655508</v>
      </c>
      <c r="K36" s="28">
        <f t="shared" si="6"/>
        <v>4.659498207885305</v>
      </c>
    </row>
    <row r="37" spans="1:11" s="1" customFormat="1" ht="12" customHeight="1" thickBot="1">
      <c r="A37" s="16"/>
      <c r="B37" s="38" t="s">
        <v>84</v>
      </c>
      <c r="C37" s="147"/>
      <c r="D37" s="27">
        <f t="shared" si="0"/>
        <v>0</v>
      </c>
      <c r="E37" s="37">
        <f t="shared" si="1"/>
        <v>0</v>
      </c>
      <c r="F37" s="140">
        <v>2</v>
      </c>
      <c r="G37" s="27">
        <f t="shared" si="2"/>
        <v>0.060454009612187526</v>
      </c>
      <c r="H37" s="37">
        <f t="shared" si="3"/>
        <v>0.0749063670411985</v>
      </c>
      <c r="I37" s="132">
        <f t="shared" si="4"/>
        <v>2</v>
      </c>
      <c r="J37" s="27">
        <f t="shared" si="5"/>
        <v>0.052314935914203504</v>
      </c>
      <c r="K37" s="28">
        <f t="shared" si="6"/>
        <v>0.06516780710329098</v>
      </c>
    </row>
    <row r="38" spans="1:11" s="6" customFormat="1" ht="21" customHeight="1" thickBot="1">
      <c r="A38" s="98" t="s">
        <v>20</v>
      </c>
      <c r="B38" s="92" t="s">
        <v>32</v>
      </c>
      <c r="C38" s="148"/>
      <c r="D38" s="94">
        <f t="shared" si="0"/>
        <v>0</v>
      </c>
      <c r="E38" s="95">
        <f t="shared" si="1"/>
        <v>0</v>
      </c>
      <c r="F38" s="135"/>
      <c r="G38" s="94">
        <f t="shared" si="2"/>
        <v>0</v>
      </c>
      <c r="H38" s="95">
        <f t="shared" si="3"/>
        <v>0</v>
      </c>
      <c r="I38" s="145">
        <f t="shared" si="4"/>
        <v>0</v>
      </c>
      <c r="J38" s="94">
        <f t="shared" si="5"/>
        <v>0</v>
      </c>
      <c r="K38" s="113">
        <f t="shared" si="6"/>
        <v>0</v>
      </c>
    </row>
    <row r="39" spans="1:11" s="1" customFormat="1" ht="12.75">
      <c r="A39" s="4"/>
      <c r="B39" s="40" t="s">
        <v>60</v>
      </c>
      <c r="C39" s="146"/>
      <c r="D39" s="18">
        <f t="shared" si="0"/>
        <v>0</v>
      </c>
      <c r="E39" s="31">
        <f t="shared" si="1"/>
        <v>0</v>
      </c>
      <c r="F39" s="138"/>
      <c r="G39" s="18">
        <f t="shared" si="2"/>
        <v>0</v>
      </c>
      <c r="H39" s="31">
        <f t="shared" si="3"/>
        <v>0</v>
      </c>
      <c r="I39" s="138">
        <f t="shared" si="4"/>
        <v>0</v>
      </c>
      <c r="J39" s="18">
        <f t="shared" si="5"/>
        <v>0</v>
      </c>
      <c r="K39" s="19">
        <f t="shared" si="6"/>
        <v>0</v>
      </c>
    </row>
    <row r="40" spans="1:11" s="1" customFormat="1" ht="12.75">
      <c r="A40" s="4"/>
      <c r="B40" s="38" t="s">
        <v>34</v>
      </c>
      <c r="C40" s="147"/>
      <c r="D40" s="12">
        <f t="shared" si="0"/>
        <v>0</v>
      </c>
      <c r="E40" s="32">
        <f t="shared" si="1"/>
        <v>0</v>
      </c>
      <c r="F40" s="132"/>
      <c r="G40" s="12">
        <f t="shared" si="2"/>
        <v>0</v>
      </c>
      <c r="H40" s="32">
        <f t="shared" si="3"/>
        <v>0</v>
      </c>
      <c r="I40" s="132">
        <f t="shared" si="4"/>
        <v>0</v>
      </c>
      <c r="J40" s="12">
        <f t="shared" si="5"/>
        <v>0</v>
      </c>
      <c r="K40" s="13">
        <f t="shared" si="6"/>
        <v>0</v>
      </c>
    </row>
    <row r="41" spans="1:11" s="1" customFormat="1" ht="12.75">
      <c r="A41" s="4"/>
      <c r="B41" s="38" t="s">
        <v>25</v>
      </c>
      <c r="C41" s="147"/>
      <c r="D41" s="12">
        <f t="shared" si="0"/>
        <v>0</v>
      </c>
      <c r="E41" s="32">
        <f t="shared" si="1"/>
        <v>0</v>
      </c>
      <c r="F41" s="132"/>
      <c r="G41" s="12">
        <f t="shared" si="2"/>
        <v>0</v>
      </c>
      <c r="H41" s="32">
        <f t="shared" si="3"/>
        <v>0</v>
      </c>
      <c r="I41" s="132">
        <f t="shared" si="4"/>
        <v>0</v>
      </c>
      <c r="J41" s="12">
        <f t="shared" si="5"/>
        <v>0</v>
      </c>
      <c r="K41" s="13">
        <f t="shared" si="6"/>
        <v>0</v>
      </c>
    </row>
    <row r="42" spans="1:11" s="1" customFormat="1" ht="13.5" thickBot="1">
      <c r="A42" s="5"/>
      <c r="B42" s="38" t="s">
        <v>35</v>
      </c>
      <c r="C42" s="147"/>
      <c r="D42" s="12">
        <f t="shared" si="0"/>
        <v>0</v>
      </c>
      <c r="E42" s="32">
        <f t="shared" si="1"/>
        <v>0</v>
      </c>
      <c r="F42" s="133"/>
      <c r="G42" s="12">
        <f t="shared" si="2"/>
        <v>0</v>
      </c>
      <c r="H42" s="32">
        <f t="shared" si="3"/>
        <v>0</v>
      </c>
      <c r="I42" s="132">
        <f t="shared" si="4"/>
        <v>0</v>
      </c>
      <c r="J42" s="12">
        <f t="shared" si="5"/>
        <v>0</v>
      </c>
      <c r="K42" s="13">
        <f t="shared" si="6"/>
        <v>0</v>
      </c>
    </row>
    <row r="43" spans="1:11" s="6" customFormat="1" ht="23.25" customHeight="1" thickBot="1">
      <c r="A43" s="98" t="s">
        <v>21</v>
      </c>
      <c r="B43" s="92" t="s">
        <v>64</v>
      </c>
      <c r="C43" s="148"/>
      <c r="D43" s="94">
        <f t="shared" si="0"/>
        <v>0</v>
      </c>
      <c r="E43" s="95">
        <f t="shared" si="1"/>
        <v>0</v>
      </c>
      <c r="F43" s="135"/>
      <c r="G43" s="94">
        <f t="shared" si="2"/>
        <v>0</v>
      </c>
      <c r="H43" s="95">
        <f t="shared" si="3"/>
        <v>0</v>
      </c>
      <c r="I43" s="145">
        <f t="shared" si="4"/>
        <v>0</v>
      </c>
      <c r="J43" s="94">
        <f t="shared" si="5"/>
        <v>0</v>
      </c>
      <c r="K43" s="113">
        <f t="shared" si="6"/>
        <v>0</v>
      </c>
    </row>
    <row r="44" spans="1:11" s="1" customFormat="1" ht="33.75" customHeight="1" thickBot="1">
      <c r="A44" s="9"/>
      <c r="B44" s="161" t="s">
        <v>81</v>
      </c>
      <c r="C44" s="146"/>
      <c r="D44" s="18">
        <f t="shared" si="0"/>
        <v>0</v>
      </c>
      <c r="E44" s="31">
        <f t="shared" si="1"/>
        <v>0</v>
      </c>
      <c r="F44" s="143"/>
      <c r="G44" s="18">
        <f t="shared" si="2"/>
        <v>0</v>
      </c>
      <c r="H44" s="31">
        <f t="shared" si="3"/>
        <v>0</v>
      </c>
      <c r="I44" s="138">
        <f t="shared" si="4"/>
        <v>0</v>
      </c>
      <c r="J44" s="18">
        <f t="shared" si="5"/>
        <v>0</v>
      </c>
      <c r="K44" s="19">
        <f t="shared" si="6"/>
        <v>0</v>
      </c>
    </row>
    <row r="45" spans="1:11" s="1" customFormat="1" ht="16.5" customHeight="1" thickBot="1">
      <c r="A45" s="4"/>
      <c r="B45" s="159" t="s">
        <v>79</v>
      </c>
      <c r="C45" s="147"/>
      <c r="D45" s="12">
        <f t="shared" si="0"/>
        <v>0</v>
      </c>
      <c r="E45" s="32">
        <f t="shared" si="1"/>
        <v>0</v>
      </c>
      <c r="F45" s="141"/>
      <c r="G45" s="12">
        <f t="shared" si="2"/>
        <v>0</v>
      </c>
      <c r="H45" s="32">
        <f t="shared" si="3"/>
        <v>0</v>
      </c>
      <c r="I45" s="132">
        <f t="shared" si="4"/>
        <v>0</v>
      </c>
      <c r="J45" s="12">
        <f t="shared" si="5"/>
        <v>0</v>
      </c>
      <c r="K45" s="13">
        <f t="shared" si="6"/>
        <v>0</v>
      </c>
    </row>
    <row r="46" spans="1:11" s="1" customFormat="1" ht="18" customHeight="1" thickBot="1">
      <c r="A46" s="99" t="s">
        <v>77</v>
      </c>
      <c r="B46" s="92" t="s">
        <v>63</v>
      </c>
      <c r="C46" s="148"/>
      <c r="D46" s="94">
        <f t="shared" si="0"/>
        <v>0</v>
      </c>
      <c r="E46" s="95">
        <f t="shared" si="1"/>
        <v>0</v>
      </c>
      <c r="F46" s="135"/>
      <c r="G46" s="94">
        <f>F46*1000/$G$2</f>
        <v>0</v>
      </c>
      <c r="H46" s="95">
        <f t="shared" si="3"/>
        <v>0</v>
      </c>
      <c r="I46" s="145">
        <f>SUM(C46,F46)</f>
        <v>0</v>
      </c>
      <c r="J46" s="94">
        <f>I46*1000/$J$2</f>
        <v>0</v>
      </c>
      <c r="K46" s="97">
        <f t="shared" si="6"/>
        <v>0</v>
      </c>
    </row>
    <row r="47" spans="1:11" s="6" customFormat="1" ht="21" customHeight="1" thickBot="1">
      <c r="A47" s="99" t="s">
        <v>29</v>
      </c>
      <c r="B47" s="92" t="s">
        <v>65</v>
      </c>
      <c r="C47" s="148"/>
      <c r="D47" s="94">
        <f t="shared" si="0"/>
        <v>0</v>
      </c>
      <c r="E47" s="95">
        <f t="shared" si="1"/>
        <v>0</v>
      </c>
      <c r="F47" s="135"/>
      <c r="G47" s="94">
        <f t="shared" si="2"/>
        <v>0</v>
      </c>
      <c r="H47" s="95">
        <f t="shared" si="3"/>
        <v>0</v>
      </c>
      <c r="I47" s="145">
        <f t="shared" si="4"/>
        <v>0</v>
      </c>
      <c r="J47" s="94">
        <f t="shared" si="5"/>
        <v>0</v>
      </c>
      <c r="K47" s="97">
        <f t="shared" si="6"/>
        <v>0</v>
      </c>
    </row>
    <row r="48" spans="1:11" s="6" customFormat="1" ht="19.5" customHeight="1" thickBot="1">
      <c r="A48" s="98" t="s">
        <v>30</v>
      </c>
      <c r="B48" s="92" t="s">
        <v>66</v>
      </c>
      <c r="C48" s="148"/>
      <c r="D48" s="94">
        <f t="shared" si="0"/>
        <v>0</v>
      </c>
      <c r="E48" s="95">
        <f t="shared" si="1"/>
        <v>0</v>
      </c>
      <c r="F48" s="135">
        <v>21</v>
      </c>
      <c r="G48" s="94">
        <f t="shared" si="2"/>
        <v>0.6347671009279691</v>
      </c>
      <c r="H48" s="95">
        <f t="shared" si="3"/>
        <v>0.7865168539325843</v>
      </c>
      <c r="I48" s="145">
        <f t="shared" si="4"/>
        <v>21</v>
      </c>
      <c r="J48" s="94">
        <f t="shared" si="5"/>
        <v>0.5493068270991368</v>
      </c>
      <c r="K48" s="97">
        <f t="shared" si="6"/>
        <v>0.6842619745845552</v>
      </c>
    </row>
    <row r="49" spans="1:11" s="1" customFormat="1" ht="17.25" customHeight="1">
      <c r="A49" s="4"/>
      <c r="B49" s="40" t="s">
        <v>67</v>
      </c>
      <c r="C49" s="146"/>
      <c r="D49" s="18">
        <f t="shared" si="0"/>
        <v>0</v>
      </c>
      <c r="E49" s="31">
        <f t="shared" si="1"/>
        <v>0</v>
      </c>
      <c r="F49" s="138">
        <v>18</v>
      </c>
      <c r="G49" s="18">
        <f t="shared" si="2"/>
        <v>0.5440860865096877</v>
      </c>
      <c r="H49" s="31">
        <f t="shared" si="3"/>
        <v>0.6741573033707865</v>
      </c>
      <c r="I49" s="138">
        <f t="shared" si="4"/>
        <v>18</v>
      </c>
      <c r="J49" s="18">
        <f t="shared" si="5"/>
        <v>0.47083442322783153</v>
      </c>
      <c r="K49" s="19">
        <f t="shared" si="6"/>
        <v>0.5865102639296188</v>
      </c>
    </row>
    <row r="50" spans="1:11" s="1" customFormat="1" ht="12.75">
      <c r="A50" s="4"/>
      <c r="B50" s="38" t="s">
        <v>71</v>
      </c>
      <c r="C50" s="147"/>
      <c r="D50" s="12">
        <f t="shared" si="0"/>
        <v>0</v>
      </c>
      <c r="E50" s="32">
        <f t="shared" si="1"/>
        <v>0</v>
      </c>
      <c r="F50" s="132"/>
      <c r="G50" s="12">
        <f t="shared" si="2"/>
        <v>0</v>
      </c>
      <c r="H50" s="32">
        <f t="shared" si="3"/>
        <v>0</v>
      </c>
      <c r="I50" s="132">
        <f t="shared" si="4"/>
        <v>0</v>
      </c>
      <c r="J50" s="12">
        <f t="shared" si="5"/>
        <v>0</v>
      </c>
      <c r="K50" s="13">
        <f t="shared" si="6"/>
        <v>0</v>
      </c>
    </row>
    <row r="51" spans="1:11" s="1" customFormat="1" ht="15.75" customHeight="1">
      <c r="A51" s="4"/>
      <c r="B51" s="38" t="s">
        <v>68</v>
      </c>
      <c r="C51" s="147"/>
      <c r="D51" s="12">
        <f t="shared" si="0"/>
        <v>0</v>
      </c>
      <c r="E51" s="32">
        <f t="shared" si="1"/>
        <v>0</v>
      </c>
      <c r="F51" s="132"/>
      <c r="G51" s="12">
        <f t="shared" si="2"/>
        <v>0</v>
      </c>
      <c r="H51" s="32">
        <f t="shared" si="3"/>
        <v>0</v>
      </c>
      <c r="I51" s="132">
        <f t="shared" si="4"/>
        <v>0</v>
      </c>
      <c r="J51" s="12">
        <f t="shared" si="5"/>
        <v>0</v>
      </c>
      <c r="K51" s="13">
        <f t="shared" si="6"/>
        <v>0</v>
      </c>
    </row>
    <row r="52" spans="1:11" s="1" customFormat="1" ht="12.75">
      <c r="A52" s="4"/>
      <c r="B52" s="38" t="s">
        <v>72</v>
      </c>
      <c r="C52" s="147"/>
      <c r="D52" s="12">
        <f t="shared" si="0"/>
        <v>0</v>
      </c>
      <c r="E52" s="32">
        <f t="shared" si="1"/>
        <v>0</v>
      </c>
      <c r="F52" s="132"/>
      <c r="G52" s="12">
        <f t="shared" si="2"/>
        <v>0</v>
      </c>
      <c r="H52" s="32">
        <f t="shared" si="3"/>
        <v>0</v>
      </c>
      <c r="I52" s="132">
        <f t="shared" si="4"/>
        <v>0</v>
      </c>
      <c r="J52" s="12">
        <f t="shared" si="5"/>
        <v>0</v>
      </c>
      <c r="K52" s="13">
        <f t="shared" si="6"/>
        <v>0</v>
      </c>
    </row>
    <row r="53" spans="1:11" s="1" customFormat="1" ht="16.5" customHeight="1">
      <c r="A53" s="4"/>
      <c r="B53" s="38" t="s">
        <v>69</v>
      </c>
      <c r="C53" s="147"/>
      <c r="D53" s="12">
        <f t="shared" si="0"/>
        <v>0</v>
      </c>
      <c r="E53" s="32">
        <f t="shared" si="1"/>
        <v>0</v>
      </c>
      <c r="F53" s="132"/>
      <c r="G53" s="12">
        <f t="shared" si="2"/>
        <v>0</v>
      </c>
      <c r="H53" s="32">
        <f t="shared" si="3"/>
        <v>0</v>
      </c>
      <c r="I53" s="132">
        <f t="shared" si="4"/>
        <v>0</v>
      </c>
      <c r="J53" s="12">
        <f t="shared" si="5"/>
        <v>0</v>
      </c>
      <c r="K53" s="13">
        <f t="shared" si="6"/>
        <v>0</v>
      </c>
    </row>
    <row r="54" spans="1:11" s="1" customFormat="1" ht="12" customHeight="1">
      <c r="A54" s="4"/>
      <c r="B54" s="38" t="s">
        <v>73</v>
      </c>
      <c r="C54" s="147"/>
      <c r="D54" s="12">
        <f t="shared" si="0"/>
        <v>0</v>
      </c>
      <c r="E54" s="32">
        <f t="shared" si="1"/>
        <v>0</v>
      </c>
      <c r="F54" s="132"/>
      <c r="G54" s="12">
        <f t="shared" si="2"/>
        <v>0</v>
      </c>
      <c r="H54" s="32">
        <f t="shared" si="3"/>
        <v>0</v>
      </c>
      <c r="I54" s="132">
        <f t="shared" si="4"/>
        <v>0</v>
      </c>
      <c r="J54" s="12">
        <f t="shared" si="5"/>
        <v>0</v>
      </c>
      <c r="K54" s="13">
        <f t="shared" si="6"/>
        <v>0</v>
      </c>
    </row>
    <row r="55" spans="1:11" s="1" customFormat="1" ht="16.5" customHeight="1">
      <c r="A55" s="4"/>
      <c r="B55" s="38" t="s">
        <v>70</v>
      </c>
      <c r="C55" s="147"/>
      <c r="D55" s="12">
        <f t="shared" si="0"/>
        <v>0</v>
      </c>
      <c r="E55" s="32">
        <f t="shared" si="1"/>
        <v>0</v>
      </c>
      <c r="F55" s="132"/>
      <c r="G55" s="12">
        <f t="shared" si="2"/>
        <v>0</v>
      </c>
      <c r="H55" s="32">
        <f t="shared" si="3"/>
        <v>0</v>
      </c>
      <c r="I55" s="132">
        <f t="shared" si="4"/>
        <v>0</v>
      </c>
      <c r="J55" s="12">
        <f t="shared" si="5"/>
        <v>0</v>
      </c>
      <c r="K55" s="13">
        <f t="shared" si="6"/>
        <v>0</v>
      </c>
    </row>
    <row r="56" spans="1:11" s="1" customFormat="1" ht="12.75">
      <c r="A56" s="4"/>
      <c r="B56" s="38" t="s">
        <v>74</v>
      </c>
      <c r="C56" s="147"/>
      <c r="D56" s="12">
        <f t="shared" si="0"/>
        <v>0</v>
      </c>
      <c r="E56" s="32">
        <f t="shared" si="1"/>
        <v>0</v>
      </c>
      <c r="F56" s="132"/>
      <c r="G56" s="12">
        <f t="shared" si="2"/>
        <v>0</v>
      </c>
      <c r="H56" s="32">
        <f t="shared" si="3"/>
        <v>0</v>
      </c>
      <c r="I56" s="132">
        <f t="shared" si="4"/>
        <v>0</v>
      </c>
      <c r="J56" s="12">
        <f t="shared" si="5"/>
        <v>0</v>
      </c>
      <c r="K56" s="13">
        <f t="shared" si="6"/>
        <v>0</v>
      </c>
    </row>
    <row r="57" spans="1:11" s="1" customFormat="1" ht="13.5" thickBot="1">
      <c r="A57" s="4"/>
      <c r="B57" s="38" t="s">
        <v>33</v>
      </c>
      <c r="C57" s="152"/>
      <c r="D57" s="12">
        <f t="shared" si="0"/>
        <v>0</v>
      </c>
      <c r="E57" s="32">
        <f>C57*100/C$58</f>
        <v>0</v>
      </c>
      <c r="F57" s="139"/>
      <c r="G57" s="12">
        <f t="shared" si="2"/>
        <v>0</v>
      </c>
      <c r="H57" s="32">
        <f>F57*100/F$58</f>
        <v>0</v>
      </c>
      <c r="I57" s="132">
        <f t="shared" si="4"/>
        <v>0</v>
      </c>
      <c r="J57" s="12">
        <f t="shared" si="5"/>
        <v>0</v>
      </c>
      <c r="K57" s="13">
        <f t="shared" si="6"/>
        <v>0</v>
      </c>
    </row>
    <row r="58" spans="1:11" s="6" customFormat="1" ht="18.75" customHeight="1" thickBot="1">
      <c r="A58" s="82"/>
      <c r="B58" s="83" t="s">
        <v>22</v>
      </c>
      <c r="C58" s="148">
        <f>C48+C47+C46+C43+C38+C34+C33+C32+C27+C22+C18+C17+C16+C14+C13+C11+C10+C8+C5</f>
        <v>399</v>
      </c>
      <c r="D58" s="215">
        <f t="shared" si="0"/>
        <v>77.52088595298233</v>
      </c>
      <c r="E58" s="33"/>
      <c r="F58" s="145">
        <f>F48+F47+F46+F43+F38+F34+F33+F32+F27+F22+F18+F17+F16+F14+F13+F11+F10+F8+F5</f>
        <v>2670</v>
      </c>
      <c r="G58" s="216">
        <f t="shared" si="2"/>
        <v>80.70610283227035</v>
      </c>
      <c r="H58" s="33"/>
      <c r="I58" s="145">
        <f>I48+I47+I46+I43+I38+I34+I33+I32+I27+I22+I18+I17+I16+I14+I13+I11+I10+I8+I5</f>
        <v>3069</v>
      </c>
      <c r="J58" s="216">
        <f t="shared" si="5"/>
        <v>80.27726916034528</v>
      </c>
      <c r="K58" s="11"/>
    </row>
    <row r="59" spans="1:11" s="6" customFormat="1" ht="22.5" customHeight="1">
      <c r="A59" s="15"/>
      <c r="B59" s="235"/>
      <c r="C59" s="235"/>
      <c r="D59" s="235"/>
      <c r="E59" s="235"/>
      <c r="F59" s="235"/>
      <c r="G59" s="235"/>
      <c r="H59" s="235"/>
      <c r="I59" s="236"/>
      <c r="J59" s="236"/>
      <c r="K59" s="236"/>
    </row>
  </sheetData>
  <sheetProtection/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8"/>
  <sheetViews>
    <sheetView showZeros="0" zoomScale="90" zoomScaleNormal="90" zoomScalePageLayoutView="0" workbookViewId="0" topLeftCell="A1">
      <pane ySplit="4" topLeftCell="A5" activePane="bottomLeft" state="frozen"/>
      <selection pane="topLeft" activeCell="C7" sqref="C7"/>
      <selection pane="bottomLeft" activeCell="H21" sqref="H21"/>
    </sheetView>
  </sheetViews>
  <sheetFormatPr defaultColWidth="9.00390625" defaultRowHeight="12.75"/>
  <cols>
    <col min="1" max="1" width="5.625" style="0" customWidth="1"/>
    <col min="2" max="2" width="49.75390625" style="0" customWidth="1"/>
    <col min="3" max="3" width="10.25390625" style="0" customWidth="1"/>
    <col min="4" max="4" width="11.00390625" style="0" customWidth="1"/>
    <col min="5" max="5" width="8.625" style="0" customWidth="1"/>
    <col min="6" max="6" width="10.125" style="0" customWidth="1"/>
    <col min="7" max="7" width="10.375" style="0" customWidth="1"/>
    <col min="8" max="8" width="8.625" style="0" customWidth="1"/>
    <col min="9" max="9" width="9.25390625" style="0" customWidth="1"/>
    <col min="10" max="10" width="10.375" style="0" customWidth="1"/>
    <col min="11" max="11" width="8.125" style="0" customWidth="1"/>
  </cols>
  <sheetData>
    <row r="1" spans="1:11" ht="21.75" customHeight="1">
      <c r="A1" s="237" t="s">
        <v>89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2:11" s="6" customFormat="1" ht="24" customHeight="1" thickBot="1">
      <c r="B2" s="211"/>
      <c r="C2" s="211"/>
      <c r="D2" s="229">
        <v>36720</v>
      </c>
      <c r="E2" s="23"/>
      <c r="F2" s="23"/>
      <c r="G2" s="229">
        <f>J2-D2</f>
        <v>206913</v>
      </c>
      <c r="H2" s="2"/>
      <c r="I2" s="2"/>
      <c r="J2" s="229">
        <v>243633</v>
      </c>
      <c r="K2" s="211"/>
    </row>
    <row r="3" spans="1:11" ht="14.25" customHeight="1">
      <c r="A3" s="53" t="s">
        <v>0</v>
      </c>
      <c r="B3" s="251" t="s">
        <v>5</v>
      </c>
      <c r="C3" s="176" t="s">
        <v>1</v>
      </c>
      <c r="D3" s="177"/>
      <c r="E3" s="177"/>
      <c r="F3" s="176" t="s">
        <v>2</v>
      </c>
      <c r="G3" s="177"/>
      <c r="H3" s="177"/>
      <c r="I3" s="176" t="s">
        <v>3</v>
      </c>
      <c r="J3" s="177"/>
      <c r="K3" s="178"/>
    </row>
    <row r="4" spans="1:11" ht="34.5" customHeight="1" thickBot="1">
      <c r="A4" s="54" t="s">
        <v>4</v>
      </c>
      <c r="B4" s="252"/>
      <c r="C4" s="179" t="s">
        <v>6</v>
      </c>
      <c r="D4" s="180" t="s">
        <v>7</v>
      </c>
      <c r="E4" s="181" t="s">
        <v>8</v>
      </c>
      <c r="F4" s="179" t="s">
        <v>6</v>
      </c>
      <c r="G4" s="180" t="s">
        <v>7</v>
      </c>
      <c r="H4" s="181" t="s">
        <v>8</v>
      </c>
      <c r="I4" s="179" t="s">
        <v>6</v>
      </c>
      <c r="J4" s="180" t="s">
        <v>7</v>
      </c>
      <c r="K4" s="182" t="s">
        <v>8</v>
      </c>
    </row>
    <row r="5" spans="1:11" s="6" customFormat="1" ht="18" customHeight="1" thickBot="1">
      <c r="A5" s="114" t="s">
        <v>9</v>
      </c>
      <c r="B5" s="154" t="s">
        <v>26</v>
      </c>
      <c r="C5" s="135">
        <f>SUM(МОБАЛ_Община:МБАЛ_Свищов!C5)</f>
        <v>594</v>
      </c>
      <c r="D5" s="107">
        <f aca="true" t="shared" si="0" ref="D5:D57">C5*1000/$D$2</f>
        <v>16.176470588235293</v>
      </c>
      <c r="E5" s="108">
        <f aca="true" t="shared" si="1" ref="E5:E50">C5*100/C$58</f>
        <v>10.33582738820254</v>
      </c>
      <c r="F5" s="135">
        <f>SUM(МОБАЛ_Община:МБАЛ_Свищов!F5)</f>
        <v>596</v>
      </c>
      <c r="G5" s="107">
        <f aca="true" t="shared" si="2" ref="G5:G57">F5*1000/$G$2</f>
        <v>2.880437671871753</v>
      </c>
      <c r="H5" s="108">
        <f aca="true" t="shared" si="3" ref="H5:H57">F5*100/F$58</f>
        <v>2.068151849538483</v>
      </c>
      <c r="I5" s="135">
        <f aca="true" t="shared" si="4" ref="I5:I58">SUM(C5,F5)</f>
        <v>1190</v>
      </c>
      <c r="J5" s="107">
        <f aca="true" t="shared" si="5" ref="J5:J57">I5*1000/$J$2</f>
        <v>4.884395792031457</v>
      </c>
      <c r="K5" s="183">
        <f aca="true" t="shared" si="6" ref="K5:K57">I5*100/I$58</f>
        <v>3.442788948358166</v>
      </c>
    </row>
    <row r="6" spans="1:11" s="7" customFormat="1" ht="17.25" customHeight="1">
      <c r="A6" s="4"/>
      <c r="B6" s="40" t="s">
        <v>36</v>
      </c>
      <c r="C6" s="168">
        <f>SUM(МОБАЛ_Община:МБАЛ_Свищов!C6)</f>
        <v>502</v>
      </c>
      <c r="D6" s="55">
        <f t="shared" si="0"/>
        <v>13.671023965141613</v>
      </c>
      <c r="E6" s="36">
        <f t="shared" si="1"/>
        <v>8.734992169827736</v>
      </c>
      <c r="F6" s="168">
        <f>SUM(МОБАЛ_Община:МБАЛ_Свищов!F6)</f>
        <v>384</v>
      </c>
      <c r="G6" s="25">
        <f t="shared" si="2"/>
        <v>1.8558524597294515</v>
      </c>
      <c r="H6" s="36">
        <f t="shared" si="3"/>
        <v>1.3325005205080158</v>
      </c>
      <c r="I6" s="171">
        <f t="shared" si="4"/>
        <v>886</v>
      </c>
      <c r="J6" s="25">
        <f t="shared" si="5"/>
        <v>3.636617371209976</v>
      </c>
      <c r="K6" s="56">
        <f t="shared" si="6"/>
        <v>2.5632865615507017</v>
      </c>
    </row>
    <row r="7" spans="1:11" s="7" customFormat="1" ht="18.75" customHeight="1" thickBot="1">
      <c r="A7" s="4"/>
      <c r="B7" s="39" t="s">
        <v>37</v>
      </c>
      <c r="C7" s="173">
        <f>SUM(МОБАЛ_Община:МБАЛ_Свищов!C7)</f>
        <v>0</v>
      </c>
      <c r="D7" s="55">
        <f t="shared" si="0"/>
        <v>0</v>
      </c>
      <c r="E7" s="36">
        <f t="shared" si="1"/>
        <v>0</v>
      </c>
      <c r="F7" s="169">
        <f>SUM(МОБАЛ_Община:МБАЛ_Свищов!F7)</f>
        <v>2</v>
      </c>
      <c r="G7" s="57">
        <f t="shared" si="2"/>
        <v>0.00966589822775756</v>
      </c>
      <c r="H7" s="34">
        <f t="shared" si="3"/>
        <v>0.006940106877645916</v>
      </c>
      <c r="I7" s="174">
        <f t="shared" si="4"/>
        <v>2</v>
      </c>
      <c r="J7" s="57">
        <f t="shared" si="5"/>
        <v>0.008209068558036062</v>
      </c>
      <c r="K7" s="56">
        <f t="shared" si="6"/>
        <v>0.005786199913207001</v>
      </c>
    </row>
    <row r="8" spans="1:11" s="6" customFormat="1" ht="18" customHeight="1" thickBot="1">
      <c r="A8" s="114" t="s">
        <v>10</v>
      </c>
      <c r="B8" s="100" t="s">
        <v>38</v>
      </c>
      <c r="C8" s="135">
        <f>SUM(МОБАЛ_Община:МБАЛ_Свищов!C8)</f>
        <v>8</v>
      </c>
      <c r="D8" s="107">
        <f t="shared" si="0"/>
        <v>0.2178649237472767</v>
      </c>
      <c r="E8" s="108">
        <f t="shared" si="1"/>
        <v>0.1392030624673743</v>
      </c>
      <c r="F8" s="135">
        <f>SUM(МОБАЛ_Община:МБАЛ_Свищов!F8)</f>
        <v>806</v>
      </c>
      <c r="G8" s="107">
        <f t="shared" si="2"/>
        <v>3.8953569857862966</v>
      </c>
      <c r="H8" s="108">
        <f t="shared" si="3"/>
        <v>2.796863071691304</v>
      </c>
      <c r="I8" s="135">
        <f t="shared" si="4"/>
        <v>814</v>
      </c>
      <c r="J8" s="107">
        <f t="shared" si="5"/>
        <v>3.3410909031206772</v>
      </c>
      <c r="K8" s="183">
        <f t="shared" si="6"/>
        <v>2.3549833646752494</v>
      </c>
    </row>
    <row r="9" spans="1:11" s="7" customFormat="1" ht="15" customHeight="1" thickBot="1">
      <c r="A9" s="16"/>
      <c r="B9" s="40" t="s">
        <v>39</v>
      </c>
      <c r="C9" s="170">
        <f>SUM(МОБАЛ_Община:МБАЛ_Свищов!C9)</f>
        <v>0</v>
      </c>
      <c r="D9" s="55">
        <f t="shared" si="0"/>
        <v>0</v>
      </c>
      <c r="E9" s="58">
        <f t="shared" si="1"/>
        <v>0</v>
      </c>
      <c r="F9" s="170">
        <f>SUM(МОБАЛ_Община:МБАЛ_Свищов!F9)</f>
        <v>354</v>
      </c>
      <c r="G9" s="55">
        <f t="shared" si="2"/>
        <v>1.7108639863130881</v>
      </c>
      <c r="H9" s="59">
        <f t="shared" si="3"/>
        <v>1.2283989173433272</v>
      </c>
      <c r="I9" s="171">
        <f t="shared" si="4"/>
        <v>354</v>
      </c>
      <c r="J9" s="55">
        <f t="shared" si="5"/>
        <v>1.4530051347723831</v>
      </c>
      <c r="K9" s="60">
        <f t="shared" si="6"/>
        <v>1.0241573846376393</v>
      </c>
    </row>
    <row r="10" spans="1:11" s="6" customFormat="1" ht="20.25" customHeight="1" thickBot="1">
      <c r="A10" s="91" t="s">
        <v>11</v>
      </c>
      <c r="B10" s="92" t="s">
        <v>40</v>
      </c>
      <c r="C10" s="135">
        <f>SUM(МОБАЛ_Община:МБАЛ_Свищов!C10)</f>
        <v>5</v>
      </c>
      <c r="D10" s="107">
        <f t="shared" si="0"/>
        <v>0.13616557734204793</v>
      </c>
      <c r="E10" s="108">
        <f t="shared" si="1"/>
        <v>0.08700191404210893</v>
      </c>
      <c r="F10" s="135">
        <f>SUM(МОБАЛ_Община:МБАЛ_Свищов!F10)</f>
        <v>183</v>
      </c>
      <c r="G10" s="107">
        <f t="shared" si="2"/>
        <v>0.8844296878398167</v>
      </c>
      <c r="H10" s="108">
        <f t="shared" si="3"/>
        <v>0.6350197793046013</v>
      </c>
      <c r="I10" s="135">
        <f t="shared" si="4"/>
        <v>188</v>
      </c>
      <c r="J10" s="107">
        <f t="shared" si="5"/>
        <v>0.7716524444553898</v>
      </c>
      <c r="K10" s="183">
        <f t="shared" si="6"/>
        <v>0.5439027918414582</v>
      </c>
    </row>
    <row r="11" spans="1:11" s="7" customFormat="1" ht="27.75" customHeight="1" thickBot="1">
      <c r="A11" s="98" t="s">
        <v>12</v>
      </c>
      <c r="B11" s="92" t="s">
        <v>41</v>
      </c>
      <c r="C11" s="135">
        <f>SUM(МОБАЛ_Община:МБАЛ_Свищов!C11)</f>
        <v>10</v>
      </c>
      <c r="D11" s="107">
        <f t="shared" si="0"/>
        <v>0.27233115468409586</v>
      </c>
      <c r="E11" s="192">
        <f t="shared" si="1"/>
        <v>0.17400382808421785</v>
      </c>
      <c r="F11" s="135">
        <f>SUM(МОБАЛ_Община:МБАЛ_Свищов!F11)</f>
        <v>1276</v>
      </c>
      <c r="G11" s="191">
        <f t="shared" si="2"/>
        <v>6.166843069309323</v>
      </c>
      <c r="H11" s="108">
        <f t="shared" si="3"/>
        <v>4.427788187938094</v>
      </c>
      <c r="I11" s="185">
        <f t="shared" si="4"/>
        <v>1286</v>
      </c>
      <c r="J11" s="191">
        <f t="shared" si="5"/>
        <v>5.278431082817188</v>
      </c>
      <c r="K11" s="193">
        <f t="shared" si="6"/>
        <v>3.720526544192102</v>
      </c>
    </row>
    <row r="12" spans="1:11" s="6" customFormat="1" ht="14.25" customHeight="1" thickBot="1">
      <c r="A12" s="17"/>
      <c r="B12" s="41" t="s">
        <v>78</v>
      </c>
      <c r="C12" s="170">
        <f>SUM(МОБАЛ_Община:МБАЛ_Свищов!C12)</f>
        <v>9</v>
      </c>
      <c r="D12" s="61">
        <f t="shared" si="0"/>
        <v>0.24509803921568626</v>
      </c>
      <c r="E12" s="62">
        <f t="shared" si="1"/>
        <v>0.15660344527579606</v>
      </c>
      <c r="F12" s="170">
        <f>SUM(МОБАЛ_Община:МБАЛ_Свищов!F12)</f>
        <v>1236</v>
      </c>
      <c r="G12" s="61">
        <f t="shared" si="2"/>
        <v>5.973525104754172</v>
      </c>
      <c r="H12" s="34">
        <f t="shared" si="3"/>
        <v>4.2889860503851756</v>
      </c>
      <c r="I12" s="169">
        <f t="shared" si="4"/>
        <v>1245</v>
      </c>
      <c r="J12" s="61">
        <f t="shared" si="5"/>
        <v>5.110145177377449</v>
      </c>
      <c r="K12" s="63">
        <f t="shared" si="6"/>
        <v>3.601909445971358</v>
      </c>
    </row>
    <row r="13" spans="1:11" s="6" customFormat="1" ht="14.25" customHeight="1" thickBot="1">
      <c r="A13" s="99" t="s">
        <v>13</v>
      </c>
      <c r="B13" s="100" t="s">
        <v>42</v>
      </c>
      <c r="C13" s="212">
        <f>SUM(МОБАЛ_Община:МБАЛ_Свищов!C13)</f>
        <v>0</v>
      </c>
      <c r="D13" s="107">
        <f t="shared" si="0"/>
        <v>0</v>
      </c>
      <c r="E13" s="108">
        <f t="shared" si="1"/>
        <v>0</v>
      </c>
      <c r="F13" s="135">
        <f>SUM(МОБАЛ_Община:МБАЛ_Свищов!F13)</f>
        <v>0</v>
      </c>
      <c r="G13" s="107">
        <f t="shared" si="2"/>
        <v>0</v>
      </c>
      <c r="H13" s="108">
        <f t="shared" si="3"/>
        <v>0</v>
      </c>
      <c r="I13" s="135">
        <f t="shared" si="4"/>
        <v>0</v>
      </c>
      <c r="J13" s="107">
        <f t="shared" si="5"/>
        <v>0</v>
      </c>
      <c r="K13" s="183">
        <f t="shared" si="6"/>
        <v>0</v>
      </c>
    </row>
    <row r="14" spans="1:11" s="8" customFormat="1" ht="16.5" customHeight="1" thickBot="1">
      <c r="A14" s="99" t="s">
        <v>14</v>
      </c>
      <c r="B14" s="92" t="s">
        <v>43</v>
      </c>
      <c r="C14" s="135">
        <f>SUM(МОБАЛ_Община:МБАЛ_Свищов!C14)</f>
        <v>6</v>
      </c>
      <c r="D14" s="198">
        <f t="shared" si="0"/>
        <v>0.16339869281045752</v>
      </c>
      <c r="E14" s="199">
        <f t="shared" si="1"/>
        <v>0.10440229685053071</v>
      </c>
      <c r="F14" s="135">
        <f>SUM(МОБАЛ_Община:МБАЛ_Свищов!F14)</f>
        <v>1481</v>
      </c>
      <c r="G14" s="198">
        <f t="shared" si="2"/>
        <v>7.157597637654473</v>
      </c>
      <c r="H14" s="108">
        <f t="shared" si="3"/>
        <v>5.139149142896801</v>
      </c>
      <c r="I14" s="186">
        <f t="shared" si="4"/>
        <v>1487</v>
      </c>
      <c r="J14" s="198">
        <f t="shared" si="5"/>
        <v>6.103442472899812</v>
      </c>
      <c r="K14" s="200">
        <f t="shared" si="6"/>
        <v>4.302039635469406</v>
      </c>
    </row>
    <row r="15" spans="1:11" s="7" customFormat="1" ht="14.25" customHeight="1" thickBot="1">
      <c r="A15" s="24"/>
      <c r="B15" s="42" t="s">
        <v>44</v>
      </c>
      <c r="C15" s="170">
        <f>SUM(МОБАЛ_Община:МБАЛ_Свищов!C15)</f>
        <v>0</v>
      </c>
      <c r="D15" s="61">
        <f t="shared" si="0"/>
        <v>0</v>
      </c>
      <c r="E15" s="62">
        <f t="shared" si="1"/>
        <v>0</v>
      </c>
      <c r="F15" s="170">
        <f>SUM(МОБАЛ_Община:МБАЛ_Свищов!F15)</f>
        <v>87</v>
      </c>
      <c r="G15" s="61">
        <f t="shared" si="2"/>
        <v>0.4204665729074539</v>
      </c>
      <c r="H15" s="34">
        <f t="shared" si="3"/>
        <v>0.30189464917759734</v>
      </c>
      <c r="I15" s="169">
        <f t="shared" si="4"/>
        <v>87</v>
      </c>
      <c r="J15" s="61">
        <f t="shared" si="5"/>
        <v>0.3570944822745687</v>
      </c>
      <c r="K15" s="63">
        <f t="shared" si="6"/>
        <v>0.25169969622450455</v>
      </c>
    </row>
    <row r="16" spans="1:11" s="7" customFormat="1" ht="18" customHeight="1" thickBot="1">
      <c r="A16" s="189" t="s">
        <v>15</v>
      </c>
      <c r="B16" s="100" t="s">
        <v>27</v>
      </c>
      <c r="C16" s="135">
        <f>SUM(МОБАЛ_Община:МБАЛ_Свищов!C16)</f>
        <v>8</v>
      </c>
      <c r="D16" s="191">
        <f t="shared" si="0"/>
        <v>0.2178649237472767</v>
      </c>
      <c r="E16" s="192">
        <f t="shared" si="1"/>
        <v>0.1392030624673743</v>
      </c>
      <c r="F16" s="135">
        <f>SUM(МОБАЛ_Община:МБАЛ_Свищов!F16)</f>
        <v>1037</v>
      </c>
      <c r="G16" s="191">
        <f t="shared" si="2"/>
        <v>5.011768231092295</v>
      </c>
      <c r="H16" s="108">
        <f t="shared" si="3"/>
        <v>3.5984454160594073</v>
      </c>
      <c r="I16" s="185">
        <f t="shared" si="4"/>
        <v>1045</v>
      </c>
      <c r="J16" s="191">
        <f t="shared" si="5"/>
        <v>4.289238321573842</v>
      </c>
      <c r="K16" s="193">
        <f t="shared" si="6"/>
        <v>3.023289454650658</v>
      </c>
    </row>
    <row r="17" spans="1:11" s="7" customFormat="1" ht="18" customHeight="1" thickBot="1">
      <c r="A17" s="190" t="s">
        <v>16</v>
      </c>
      <c r="B17" s="92" t="s">
        <v>45</v>
      </c>
      <c r="C17" s="135">
        <f>SUM(МОБАЛ_Община:МБАЛ_Свищов!C17)</f>
        <v>6</v>
      </c>
      <c r="D17" s="194">
        <f t="shared" si="0"/>
        <v>0.16339869281045752</v>
      </c>
      <c r="E17" s="195">
        <f t="shared" si="1"/>
        <v>0.10440229685053071</v>
      </c>
      <c r="F17" s="135">
        <f>SUM(МОБАЛ_Община:МБАЛ_Свищов!F17)</f>
        <v>678</v>
      </c>
      <c r="G17" s="194">
        <f t="shared" si="2"/>
        <v>3.2767394992098127</v>
      </c>
      <c r="H17" s="196">
        <f t="shared" si="3"/>
        <v>2.3526962315219655</v>
      </c>
      <c r="I17" s="187">
        <f t="shared" si="4"/>
        <v>684</v>
      </c>
      <c r="J17" s="194">
        <f t="shared" si="5"/>
        <v>2.8075014468483332</v>
      </c>
      <c r="K17" s="197">
        <f t="shared" si="6"/>
        <v>1.9788803703167945</v>
      </c>
    </row>
    <row r="18" spans="1:11" s="6" customFormat="1" ht="15.75" customHeight="1" thickBot="1">
      <c r="A18" s="99" t="s">
        <v>17</v>
      </c>
      <c r="B18" s="156" t="s">
        <v>46</v>
      </c>
      <c r="C18" s="135">
        <f>SUM(МОБАЛ_Община:МБАЛ_Свищов!C18)</f>
        <v>15</v>
      </c>
      <c r="D18" s="107">
        <f t="shared" si="0"/>
        <v>0.4084967320261438</v>
      </c>
      <c r="E18" s="108">
        <f t="shared" si="1"/>
        <v>0.26100574212632677</v>
      </c>
      <c r="F18" s="135">
        <f>SUM(МОБАЛ_Община:МБАЛ_Свищов!F18)</f>
        <v>7037</v>
      </c>
      <c r="G18" s="107">
        <f t="shared" si="2"/>
        <v>34.009462914364974</v>
      </c>
      <c r="H18" s="108">
        <f t="shared" si="3"/>
        <v>24.418766048997156</v>
      </c>
      <c r="I18" s="135">
        <f t="shared" si="4"/>
        <v>7052</v>
      </c>
      <c r="J18" s="107">
        <f t="shared" si="5"/>
        <v>28.945175735635157</v>
      </c>
      <c r="K18" s="183">
        <f t="shared" si="6"/>
        <v>20.402140893967886</v>
      </c>
    </row>
    <row r="19" spans="1:11" s="7" customFormat="1" ht="12.75" customHeight="1">
      <c r="A19" s="4"/>
      <c r="B19" s="38" t="s">
        <v>47</v>
      </c>
      <c r="C19" s="168">
        <f>SUM(МОБАЛ_Община:МБАЛ_Свищов!C19)</f>
        <v>0</v>
      </c>
      <c r="D19" s="55">
        <f t="shared" si="0"/>
        <v>0</v>
      </c>
      <c r="E19" s="58">
        <f t="shared" si="1"/>
        <v>0</v>
      </c>
      <c r="F19" s="168">
        <f>SUM(МОБАЛ_Община:МБАЛ_Свищов!F19)</f>
        <v>10</v>
      </c>
      <c r="G19" s="55">
        <f t="shared" si="2"/>
        <v>0.0483294911387878</v>
      </c>
      <c r="H19" s="36">
        <f t="shared" si="3"/>
        <v>0.03470053438822958</v>
      </c>
      <c r="I19" s="171">
        <f t="shared" si="4"/>
        <v>10</v>
      </c>
      <c r="J19" s="55">
        <f t="shared" si="5"/>
        <v>0.041045342790180316</v>
      </c>
      <c r="K19" s="60">
        <f t="shared" si="6"/>
        <v>0.028930999566035006</v>
      </c>
    </row>
    <row r="20" spans="1:11" s="7" customFormat="1" ht="14.25" customHeight="1">
      <c r="A20" s="4"/>
      <c r="B20" s="38" t="s">
        <v>48</v>
      </c>
      <c r="C20" s="172">
        <f>SUM(МОБАЛ_Община:МБАЛ_Свищов!C20)</f>
        <v>0</v>
      </c>
      <c r="D20" s="64">
        <f t="shared" si="0"/>
        <v>0</v>
      </c>
      <c r="E20" s="65">
        <f t="shared" si="1"/>
        <v>0</v>
      </c>
      <c r="F20" s="172">
        <f>SUM(МОБАЛ_Община:МБАЛ_Свищов!F20)</f>
        <v>1251</v>
      </c>
      <c r="G20" s="64">
        <f t="shared" si="2"/>
        <v>6.046019341462354</v>
      </c>
      <c r="H20" s="37">
        <f t="shared" si="3"/>
        <v>4.34103685196752</v>
      </c>
      <c r="I20" s="172">
        <f t="shared" si="4"/>
        <v>1251</v>
      </c>
      <c r="J20" s="64">
        <f t="shared" si="5"/>
        <v>5.1347723830515575</v>
      </c>
      <c r="K20" s="66">
        <f t="shared" si="6"/>
        <v>3.6192680457109794</v>
      </c>
    </row>
    <row r="21" spans="1:11" s="7" customFormat="1" ht="15" customHeight="1" thickBot="1">
      <c r="A21" s="4"/>
      <c r="B21" s="38" t="s">
        <v>49</v>
      </c>
      <c r="C21" s="173">
        <f>SUM(МОБАЛ_Община:МБАЛ_Свищов!C21)</f>
        <v>0</v>
      </c>
      <c r="D21" s="55">
        <f t="shared" si="0"/>
        <v>0</v>
      </c>
      <c r="E21" s="58">
        <f t="shared" si="1"/>
        <v>0</v>
      </c>
      <c r="F21" s="169">
        <f>SUM(МОБАЛ_Община:МБАЛ_Свищов!F21)</f>
        <v>1405</v>
      </c>
      <c r="G21" s="55">
        <f t="shared" si="2"/>
        <v>6.790293504999686</v>
      </c>
      <c r="H21" s="34">
        <f t="shared" si="3"/>
        <v>4.875425081546256</v>
      </c>
      <c r="I21" s="171">
        <f t="shared" si="4"/>
        <v>1405</v>
      </c>
      <c r="J21" s="55">
        <f t="shared" si="5"/>
        <v>5.766870662020334</v>
      </c>
      <c r="K21" s="60">
        <f t="shared" si="6"/>
        <v>4.064805439027919</v>
      </c>
    </row>
    <row r="22" spans="1:11" s="6" customFormat="1" ht="12.75" customHeight="1" thickBot="1">
      <c r="A22" s="99" t="s">
        <v>28</v>
      </c>
      <c r="B22" s="92" t="s">
        <v>50</v>
      </c>
      <c r="C22" s="135">
        <f>SUM(МОБАЛ_Община:МБАЛ_Свищов!C22)</f>
        <v>3206</v>
      </c>
      <c r="D22" s="107">
        <f t="shared" si="0"/>
        <v>87.30936819172113</v>
      </c>
      <c r="E22" s="108">
        <f t="shared" si="1"/>
        <v>55.785627283800245</v>
      </c>
      <c r="F22" s="135">
        <f>SUM(МОБАЛ_Община:МБАЛ_Свищов!F22)</f>
        <v>3260</v>
      </c>
      <c r="G22" s="107">
        <f t="shared" si="2"/>
        <v>15.755414111244823</v>
      </c>
      <c r="H22" s="108">
        <f t="shared" si="3"/>
        <v>11.312374210562842</v>
      </c>
      <c r="I22" s="135">
        <f t="shared" si="4"/>
        <v>6466</v>
      </c>
      <c r="J22" s="107">
        <f t="shared" si="5"/>
        <v>26.53991864813059</v>
      </c>
      <c r="K22" s="183">
        <f t="shared" si="6"/>
        <v>18.706784319398235</v>
      </c>
    </row>
    <row r="23" spans="1:11" s="7" customFormat="1" ht="15.75" customHeight="1">
      <c r="A23" s="4"/>
      <c r="B23" s="40" t="s">
        <v>51</v>
      </c>
      <c r="C23" s="168">
        <f>SUM(МОБАЛ_Община:МБАЛ_Свищов!C23)</f>
        <v>248</v>
      </c>
      <c r="D23" s="55">
        <f t="shared" si="0"/>
        <v>6.753812636165577</v>
      </c>
      <c r="E23" s="36">
        <f t="shared" si="1"/>
        <v>4.315294936488603</v>
      </c>
      <c r="F23" s="168">
        <f>SUM(МОБАЛ_Община:МБАЛ_Свищов!F23)</f>
        <v>16</v>
      </c>
      <c r="G23" s="25">
        <f t="shared" si="2"/>
        <v>0.07732718582206048</v>
      </c>
      <c r="H23" s="67">
        <f t="shared" si="3"/>
        <v>0.055520855021167326</v>
      </c>
      <c r="I23" s="171">
        <f t="shared" si="4"/>
        <v>264</v>
      </c>
      <c r="J23" s="25">
        <f t="shared" si="5"/>
        <v>1.0835970496607603</v>
      </c>
      <c r="K23" s="56">
        <f t="shared" si="6"/>
        <v>0.7637783885433241</v>
      </c>
    </row>
    <row r="24" spans="1:11" s="7" customFormat="1" ht="15.75" customHeight="1">
      <c r="A24" s="4"/>
      <c r="B24" s="38" t="s">
        <v>52</v>
      </c>
      <c r="C24" s="172">
        <f>SUM(МОБАЛ_Община:МБАЛ_Свищов!C24)</f>
        <v>1643</v>
      </c>
      <c r="D24" s="64">
        <f t="shared" si="0"/>
        <v>44.74400871459695</v>
      </c>
      <c r="E24" s="37">
        <f t="shared" si="1"/>
        <v>28.588828954236995</v>
      </c>
      <c r="F24" s="172">
        <f>SUM(МОБАЛ_Община:МБАЛ_Свищов!F24)</f>
        <v>1813</v>
      </c>
      <c r="G24" s="27">
        <f t="shared" si="2"/>
        <v>8.762136743462229</v>
      </c>
      <c r="H24" s="68">
        <f t="shared" si="3"/>
        <v>6.291206884586023</v>
      </c>
      <c r="I24" s="172">
        <f t="shared" si="4"/>
        <v>3456</v>
      </c>
      <c r="J24" s="27">
        <f t="shared" si="5"/>
        <v>14.185270468286316</v>
      </c>
      <c r="K24" s="69">
        <f t="shared" si="6"/>
        <v>9.998553450021697</v>
      </c>
    </row>
    <row r="25" spans="1:11" s="7" customFormat="1" ht="17.25" customHeight="1">
      <c r="A25" s="4"/>
      <c r="B25" s="38" t="s">
        <v>85</v>
      </c>
      <c r="C25" s="172">
        <f>SUM(МОБАЛ_Община:МБАЛ_Свищов!C25)</f>
        <v>0</v>
      </c>
      <c r="D25" s="64">
        <f t="shared" si="0"/>
        <v>0</v>
      </c>
      <c r="E25" s="37">
        <f t="shared" si="1"/>
        <v>0</v>
      </c>
      <c r="F25" s="172">
        <f>SUM(МОБАЛ_Община:МБАЛ_Свищов!F25)</f>
        <v>577</v>
      </c>
      <c r="G25" s="27">
        <f t="shared" si="2"/>
        <v>2.788611638708056</v>
      </c>
      <c r="H25" s="68">
        <f t="shared" si="3"/>
        <v>2.0022208342008465</v>
      </c>
      <c r="I25" s="172">
        <f t="shared" si="4"/>
        <v>577</v>
      </c>
      <c r="J25" s="27">
        <f t="shared" si="5"/>
        <v>2.368316278993404</v>
      </c>
      <c r="K25" s="69">
        <f t="shared" si="6"/>
        <v>1.6693186749602198</v>
      </c>
    </row>
    <row r="26" spans="1:11" s="7" customFormat="1" ht="15" customHeight="1" thickBot="1">
      <c r="A26" s="4"/>
      <c r="B26" s="38" t="s">
        <v>86</v>
      </c>
      <c r="C26" s="173">
        <f>SUM(МОБАЛ_Община:МБАЛ_Свищов!C26)</f>
        <v>32</v>
      </c>
      <c r="D26" s="55">
        <f t="shared" si="0"/>
        <v>0.8714596949891068</v>
      </c>
      <c r="E26" s="36">
        <f t="shared" si="1"/>
        <v>0.5568122498694972</v>
      </c>
      <c r="F26" s="169">
        <f>SUM(МОБАЛ_Община:МБАЛ_Свищов!F26)</f>
        <v>51</v>
      </c>
      <c r="G26" s="25">
        <f t="shared" si="2"/>
        <v>0.24648040480781777</v>
      </c>
      <c r="H26" s="59">
        <f t="shared" si="3"/>
        <v>0.17697272537997086</v>
      </c>
      <c r="I26" s="171">
        <f t="shared" si="4"/>
        <v>83</v>
      </c>
      <c r="J26" s="25">
        <f t="shared" si="5"/>
        <v>0.3406763451584966</v>
      </c>
      <c r="K26" s="56">
        <f t="shared" si="6"/>
        <v>0.24012729639809055</v>
      </c>
    </row>
    <row r="27" spans="1:11" s="6" customFormat="1" ht="15" customHeight="1" thickBot="1">
      <c r="A27" s="99" t="s">
        <v>18</v>
      </c>
      <c r="B27" s="92" t="s">
        <v>53</v>
      </c>
      <c r="C27" s="135">
        <f>SUM(МОБАЛ_Община:МБАЛ_Свищов!C27)</f>
        <v>244</v>
      </c>
      <c r="D27" s="94">
        <f t="shared" si="0"/>
        <v>6.644880174291939</v>
      </c>
      <c r="E27" s="95">
        <f t="shared" si="1"/>
        <v>4.245693405254916</v>
      </c>
      <c r="F27" s="135">
        <f>SUM(МОБАЛ_Община:МБАЛ_Свищов!F27)</f>
        <v>3401</v>
      </c>
      <c r="G27" s="94">
        <f t="shared" si="2"/>
        <v>16.43685993630173</v>
      </c>
      <c r="H27" s="108">
        <f t="shared" si="3"/>
        <v>11.80165174543688</v>
      </c>
      <c r="I27" s="145">
        <f t="shared" si="4"/>
        <v>3645</v>
      </c>
      <c r="J27" s="94">
        <f t="shared" si="5"/>
        <v>14.961027447020724</v>
      </c>
      <c r="K27" s="113">
        <f t="shared" si="6"/>
        <v>10.54534934181976</v>
      </c>
    </row>
    <row r="28" spans="1:11" s="7" customFormat="1" ht="13.5" customHeight="1">
      <c r="A28" s="4"/>
      <c r="B28" s="40" t="s">
        <v>54</v>
      </c>
      <c r="C28" s="168">
        <f>SUM(МОБАЛ_Община:МБАЛ_Свищов!C28)</f>
        <v>0</v>
      </c>
      <c r="D28" s="55">
        <f t="shared" si="0"/>
        <v>0</v>
      </c>
      <c r="E28" s="58">
        <f t="shared" si="1"/>
        <v>0</v>
      </c>
      <c r="F28" s="168">
        <f>SUM(МОБАЛ_Община:МБАЛ_Свищов!F28)</f>
        <v>236</v>
      </c>
      <c r="G28" s="55">
        <f t="shared" si="2"/>
        <v>1.140575990875392</v>
      </c>
      <c r="H28" s="36">
        <f t="shared" si="3"/>
        <v>0.8189326115622181</v>
      </c>
      <c r="I28" s="138">
        <f t="shared" si="4"/>
        <v>236</v>
      </c>
      <c r="J28" s="55">
        <f t="shared" si="5"/>
        <v>0.9686700898482554</v>
      </c>
      <c r="K28" s="60">
        <f t="shared" si="6"/>
        <v>0.6827715897584261</v>
      </c>
    </row>
    <row r="29" spans="1:11" s="7" customFormat="1" ht="13.5" customHeight="1">
      <c r="A29" s="4"/>
      <c r="B29" s="38" t="s">
        <v>55</v>
      </c>
      <c r="C29" s="172">
        <f>SUM(МОБАЛ_Община:МБАЛ_Свищов!C29)</f>
        <v>92</v>
      </c>
      <c r="D29" s="64">
        <f t="shared" si="0"/>
        <v>2.505446623093682</v>
      </c>
      <c r="E29" s="65">
        <f t="shared" si="1"/>
        <v>1.6008352183748042</v>
      </c>
      <c r="F29" s="171">
        <f>SUM(МОБАЛ_Община:МБАЛ_Свищов!F29)</f>
        <v>59</v>
      </c>
      <c r="G29" s="64">
        <f t="shared" si="2"/>
        <v>0.285143997718848</v>
      </c>
      <c r="H29" s="37">
        <f t="shared" si="3"/>
        <v>0.20473315289055452</v>
      </c>
      <c r="I29" s="132">
        <f t="shared" si="4"/>
        <v>151</v>
      </c>
      <c r="J29" s="64">
        <f t="shared" si="5"/>
        <v>0.6197846761317227</v>
      </c>
      <c r="K29" s="66">
        <f t="shared" si="6"/>
        <v>0.4368580934471286</v>
      </c>
    </row>
    <row r="30" spans="1:11" s="7" customFormat="1" ht="16.5" customHeight="1">
      <c r="A30" s="4"/>
      <c r="B30" s="38" t="s">
        <v>56</v>
      </c>
      <c r="C30" s="172">
        <f>SUM(МОБАЛ_Община:МБАЛ_Свищов!C30)</f>
        <v>26</v>
      </c>
      <c r="D30" s="70">
        <f t="shared" si="0"/>
        <v>0.7080610021786492</v>
      </c>
      <c r="E30" s="71">
        <f t="shared" si="1"/>
        <v>0.4524099530189664</v>
      </c>
      <c r="F30" s="172">
        <f>SUM(МОБАЛ_Община:МБАЛ_Свищов!F30)</f>
        <v>377</v>
      </c>
      <c r="G30" s="70">
        <f t="shared" si="2"/>
        <v>1.8220218159323</v>
      </c>
      <c r="H30" s="72">
        <f t="shared" si="3"/>
        <v>1.3082101464362552</v>
      </c>
      <c r="I30" s="139">
        <f t="shared" si="4"/>
        <v>403</v>
      </c>
      <c r="J30" s="70">
        <f t="shared" si="5"/>
        <v>1.6541273144442665</v>
      </c>
      <c r="K30" s="73">
        <f t="shared" si="6"/>
        <v>1.1659192825112108</v>
      </c>
    </row>
    <row r="31" spans="1:11" s="7" customFormat="1" ht="15.75" customHeight="1" thickBot="1">
      <c r="A31" s="16"/>
      <c r="B31" s="38" t="s">
        <v>57</v>
      </c>
      <c r="C31" s="173">
        <f>SUM(МОБАЛ_Община:МБАЛ_Свищов!C31)</f>
        <v>1</v>
      </c>
      <c r="D31" s="74">
        <f t="shared" si="0"/>
        <v>0.027233115468409588</v>
      </c>
      <c r="E31" s="75">
        <f t="shared" si="1"/>
        <v>0.017400382808421787</v>
      </c>
      <c r="F31" s="169">
        <f>SUM(МОБАЛ_Община:МБАЛ_Свищов!F31)</f>
        <v>447</v>
      </c>
      <c r="G31" s="74">
        <f t="shared" si="2"/>
        <v>2.1603282539038147</v>
      </c>
      <c r="H31" s="76">
        <f t="shared" si="3"/>
        <v>1.5511138871538621</v>
      </c>
      <c r="I31" s="136">
        <f t="shared" si="4"/>
        <v>448</v>
      </c>
      <c r="J31" s="74">
        <f t="shared" si="5"/>
        <v>1.838831357000078</v>
      </c>
      <c r="K31" s="77">
        <f t="shared" si="6"/>
        <v>1.2961087805583682</v>
      </c>
    </row>
    <row r="32" spans="1:11" s="6" customFormat="1" ht="16.5" customHeight="1" thickBot="1">
      <c r="A32" s="99" t="s">
        <v>75</v>
      </c>
      <c r="B32" s="92" t="s">
        <v>61</v>
      </c>
      <c r="C32" s="135">
        <f>SUM(МОБАЛ_Община:МБАЛ_Свищов!C32)</f>
        <v>85</v>
      </c>
      <c r="D32" s="107">
        <f t="shared" si="0"/>
        <v>2.314814814814815</v>
      </c>
      <c r="E32" s="183">
        <f t="shared" si="1"/>
        <v>1.4790325387158518</v>
      </c>
      <c r="F32" s="135">
        <f>SUM(МОБАЛ_Община:МБАЛ_Свищов!F32)</f>
        <v>1201</v>
      </c>
      <c r="G32" s="107">
        <f t="shared" si="2"/>
        <v>5.804371885768415</v>
      </c>
      <c r="H32" s="201">
        <f t="shared" si="3"/>
        <v>4.167534180026372</v>
      </c>
      <c r="I32" s="188">
        <f t="shared" si="4"/>
        <v>1286</v>
      </c>
      <c r="J32" s="107">
        <f t="shared" si="5"/>
        <v>5.278431082817188</v>
      </c>
      <c r="K32" s="183">
        <f t="shared" si="6"/>
        <v>3.720526544192102</v>
      </c>
    </row>
    <row r="33" spans="1:11" s="7" customFormat="1" ht="27.75" customHeight="1" thickBot="1">
      <c r="A33" s="99" t="s">
        <v>76</v>
      </c>
      <c r="B33" s="92" t="s">
        <v>62</v>
      </c>
      <c r="C33" s="135">
        <f>SUM(МОБАЛ_Община:МБАЛ_Свищов!C33)</f>
        <v>21</v>
      </c>
      <c r="D33" s="191">
        <f t="shared" si="0"/>
        <v>0.5718954248366013</v>
      </c>
      <c r="E33" s="192">
        <f t="shared" si="1"/>
        <v>0.3654080389768575</v>
      </c>
      <c r="F33" s="135">
        <f>SUM(МОБАЛ_Община:МБАЛ_Свищов!F33)</f>
        <v>1328</v>
      </c>
      <c r="G33" s="191">
        <f t="shared" si="2"/>
        <v>6.41815642323102</v>
      </c>
      <c r="H33" s="108">
        <f t="shared" si="3"/>
        <v>4.608230966756888</v>
      </c>
      <c r="I33" s="185">
        <f t="shared" si="4"/>
        <v>1349</v>
      </c>
      <c r="J33" s="191">
        <f t="shared" si="5"/>
        <v>5.537016742395324</v>
      </c>
      <c r="K33" s="193">
        <f t="shared" si="6"/>
        <v>3.9027918414581224</v>
      </c>
    </row>
    <row r="34" spans="1:11" s="7" customFormat="1" ht="15.75" customHeight="1" thickBot="1">
      <c r="A34" s="99" t="s">
        <v>19</v>
      </c>
      <c r="B34" s="92" t="s">
        <v>58</v>
      </c>
      <c r="C34" s="135">
        <f>SUM(МОБАЛ_Община:МБАЛ_Свищов!C34)</f>
        <v>250</v>
      </c>
      <c r="D34" s="191">
        <f t="shared" si="0"/>
        <v>6.808278867102397</v>
      </c>
      <c r="E34" s="192">
        <f t="shared" si="1"/>
        <v>4.350095702105446</v>
      </c>
      <c r="F34" s="135">
        <f>SUM(МОБАЛ_Община:МБАЛ_Свищов!F34)</f>
        <v>1857</v>
      </c>
      <c r="G34" s="191">
        <f t="shared" si="2"/>
        <v>8.974786504472894</v>
      </c>
      <c r="H34" s="108">
        <f t="shared" si="3"/>
        <v>6.443889235894233</v>
      </c>
      <c r="I34" s="185">
        <f t="shared" si="4"/>
        <v>2107</v>
      </c>
      <c r="J34" s="191">
        <f t="shared" si="5"/>
        <v>8.648253725890992</v>
      </c>
      <c r="K34" s="193">
        <f t="shared" si="6"/>
        <v>6.095761608563576</v>
      </c>
    </row>
    <row r="35" spans="1:11" s="7" customFormat="1" ht="13.5" customHeight="1" thickBot="1">
      <c r="A35" s="4"/>
      <c r="B35" s="40" t="s">
        <v>59</v>
      </c>
      <c r="C35" s="168">
        <f>SUM(МОБАЛ_Община:МБАЛ_Свищов!C35)</f>
        <v>156</v>
      </c>
      <c r="D35" s="55">
        <f t="shared" si="0"/>
        <v>4.248366013071895</v>
      </c>
      <c r="E35" s="58">
        <f t="shared" si="1"/>
        <v>2.7144597181137984</v>
      </c>
      <c r="F35" s="170">
        <f>SUM(МОБАЛ_Община:МБАЛ_Свищов!F35)</f>
        <v>1394</v>
      </c>
      <c r="G35" s="55">
        <f t="shared" si="2"/>
        <v>6.737131064747019</v>
      </c>
      <c r="H35" s="36">
        <f t="shared" si="3"/>
        <v>4.837254493719203</v>
      </c>
      <c r="I35" s="171">
        <f t="shared" si="4"/>
        <v>1550</v>
      </c>
      <c r="J35" s="55">
        <f t="shared" si="5"/>
        <v>6.362028132477948</v>
      </c>
      <c r="K35" s="60">
        <f t="shared" si="6"/>
        <v>4.484304932735426</v>
      </c>
    </row>
    <row r="36" spans="1:11" s="6" customFormat="1" ht="15" customHeight="1" thickBot="1">
      <c r="A36" s="4"/>
      <c r="B36" s="43" t="s">
        <v>31</v>
      </c>
      <c r="C36" s="172">
        <f>SUM(МОБАЛ_Община:МБАЛ_Свищов!C36)</f>
        <v>147</v>
      </c>
      <c r="D36" s="64">
        <f t="shared" si="0"/>
        <v>4.003267973856209</v>
      </c>
      <c r="E36" s="65">
        <f t="shared" si="1"/>
        <v>2.5578562728380025</v>
      </c>
      <c r="F36" s="170">
        <f>SUM(МОБАЛ_Община:МБАЛ_Свищов!F36)</f>
        <v>740</v>
      </c>
      <c r="G36" s="64">
        <f t="shared" si="2"/>
        <v>3.5763823442702973</v>
      </c>
      <c r="H36" s="37">
        <f t="shared" si="3"/>
        <v>2.567839544728989</v>
      </c>
      <c r="I36" s="172">
        <f t="shared" si="4"/>
        <v>887</v>
      </c>
      <c r="J36" s="27">
        <f t="shared" si="5"/>
        <v>3.6407219054889937</v>
      </c>
      <c r="K36" s="69">
        <f t="shared" si="6"/>
        <v>2.566179661507305</v>
      </c>
    </row>
    <row r="37" spans="1:11" s="7" customFormat="1" ht="15.75" customHeight="1" thickBot="1">
      <c r="A37" s="16"/>
      <c r="B37" s="38" t="s">
        <v>84</v>
      </c>
      <c r="C37" s="173">
        <f>SUM(МОБАЛ_Община:МБАЛ_Свищов!C37)</f>
        <v>0</v>
      </c>
      <c r="D37" s="78">
        <f t="shared" si="0"/>
        <v>0</v>
      </c>
      <c r="E37" s="79">
        <f t="shared" si="1"/>
        <v>0</v>
      </c>
      <c r="F37" s="170">
        <f>SUM(МОБАЛ_Община:МБАЛ_Свищов!F37)</f>
        <v>217</v>
      </c>
      <c r="G37" s="78">
        <f t="shared" si="2"/>
        <v>1.0487499577116952</v>
      </c>
      <c r="H37" s="80">
        <f t="shared" si="3"/>
        <v>0.7530015962245818</v>
      </c>
      <c r="I37" s="174">
        <f t="shared" si="4"/>
        <v>217</v>
      </c>
      <c r="J37" s="78">
        <f t="shared" si="5"/>
        <v>0.8906839385469127</v>
      </c>
      <c r="K37" s="81">
        <f t="shared" si="6"/>
        <v>0.6278026905829597</v>
      </c>
    </row>
    <row r="38" spans="1:11" s="7" customFormat="1" ht="15.75" customHeight="1" thickBot="1">
      <c r="A38" s="99" t="s">
        <v>20</v>
      </c>
      <c r="B38" s="92" t="s">
        <v>32</v>
      </c>
      <c r="C38" s="135">
        <f>SUM(МОБАЛ_Община:МБАЛ_Свищов!C38)</f>
        <v>128</v>
      </c>
      <c r="D38" s="191">
        <f t="shared" si="0"/>
        <v>3.485838779956427</v>
      </c>
      <c r="E38" s="192">
        <f t="shared" si="1"/>
        <v>2.2272489994779887</v>
      </c>
      <c r="F38" s="137">
        <f>SUM(МОБАЛ_Община:МБАЛ_Свищов!F38)</f>
        <v>2686</v>
      </c>
      <c r="G38" s="191">
        <f t="shared" si="2"/>
        <v>12.981301319878403</v>
      </c>
      <c r="H38" s="108">
        <f t="shared" si="3"/>
        <v>9.320563536678465</v>
      </c>
      <c r="I38" s="185">
        <f t="shared" si="4"/>
        <v>2814</v>
      </c>
      <c r="J38" s="191">
        <f t="shared" si="5"/>
        <v>11.55015946115674</v>
      </c>
      <c r="K38" s="193">
        <f t="shared" si="6"/>
        <v>8.14118327788225</v>
      </c>
    </row>
    <row r="39" spans="1:11" s="7" customFormat="1" ht="14.25" customHeight="1">
      <c r="A39" s="4"/>
      <c r="B39" s="40" t="s">
        <v>60</v>
      </c>
      <c r="C39" s="168">
        <f>SUM(МОБАЛ_Община:МБАЛ_Свищов!C39)</f>
        <v>24</v>
      </c>
      <c r="D39" s="55">
        <f t="shared" si="0"/>
        <v>0.6535947712418301</v>
      </c>
      <c r="E39" s="58">
        <f t="shared" si="1"/>
        <v>0.41760918740212283</v>
      </c>
      <c r="F39" s="168">
        <f>SUM(МОБАЛ_Община:МБАЛ_Свищов!F39)</f>
        <v>573</v>
      </c>
      <c r="G39" s="55">
        <f t="shared" si="2"/>
        <v>2.769279842252541</v>
      </c>
      <c r="H39" s="36">
        <f t="shared" si="3"/>
        <v>1.988340620445555</v>
      </c>
      <c r="I39" s="171">
        <f t="shared" si="4"/>
        <v>597</v>
      </c>
      <c r="J39" s="55">
        <f t="shared" si="5"/>
        <v>2.4504069645737645</v>
      </c>
      <c r="K39" s="60">
        <f t="shared" si="6"/>
        <v>1.72718067409229</v>
      </c>
    </row>
    <row r="40" spans="1:11" s="7" customFormat="1" ht="15" customHeight="1">
      <c r="A40" s="4"/>
      <c r="B40" s="38" t="s">
        <v>34</v>
      </c>
      <c r="C40" s="172">
        <f>SUM(МОБАЛ_Община:МБАЛ_Свищов!C40)</f>
        <v>3</v>
      </c>
      <c r="D40" s="64">
        <f t="shared" si="0"/>
        <v>0.08169934640522876</v>
      </c>
      <c r="E40" s="65">
        <f t="shared" si="1"/>
        <v>0.052201148425265353</v>
      </c>
      <c r="F40" s="171">
        <f>SUM(МОБАЛ_Община:МБАЛ_Свищов!F40)</f>
        <v>183</v>
      </c>
      <c r="G40" s="64">
        <f t="shared" si="2"/>
        <v>0.8844296878398167</v>
      </c>
      <c r="H40" s="37">
        <f t="shared" si="3"/>
        <v>0.6350197793046013</v>
      </c>
      <c r="I40" s="172">
        <f t="shared" si="4"/>
        <v>186</v>
      </c>
      <c r="J40" s="64">
        <f t="shared" si="5"/>
        <v>0.7634433758973538</v>
      </c>
      <c r="K40" s="66">
        <f t="shared" si="6"/>
        <v>0.5381165919282511</v>
      </c>
    </row>
    <row r="41" spans="1:11" s="6" customFormat="1" ht="19.5" customHeight="1">
      <c r="A41" s="4"/>
      <c r="B41" s="38" t="s">
        <v>25</v>
      </c>
      <c r="C41" s="172">
        <f>SUM(МОБАЛ_Община:МБАЛ_Свищов!C41)</f>
        <v>0</v>
      </c>
      <c r="D41" s="64">
        <f t="shared" si="0"/>
        <v>0</v>
      </c>
      <c r="E41" s="65">
        <f t="shared" si="1"/>
        <v>0</v>
      </c>
      <c r="F41" s="171">
        <f>SUM(МОБАЛ_Община:МБАЛ_Свищов!F41)</f>
        <v>15</v>
      </c>
      <c r="G41" s="64">
        <f t="shared" si="2"/>
        <v>0.0724942367081817</v>
      </c>
      <c r="H41" s="37">
        <f t="shared" si="3"/>
        <v>0.05205080158234437</v>
      </c>
      <c r="I41" s="172">
        <f t="shared" si="4"/>
        <v>15</v>
      </c>
      <c r="J41" s="64">
        <f t="shared" si="5"/>
        <v>0.06156801418527047</v>
      </c>
      <c r="K41" s="66">
        <f t="shared" si="6"/>
        <v>0.04339649934905251</v>
      </c>
    </row>
    <row r="42" spans="1:11" s="6" customFormat="1" ht="16.5" customHeight="1" thickBot="1">
      <c r="A42" s="5"/>
      <c r="B42" s="38" t="s">
        <v>35</v>
      </c>
      <c r="C42" s="173">
        <f>SUM(МОБАЛ_Община:МБАЛ_Свищов!C42)</f>
        <v>38</v>
      </c>
      <c r="D42" s="61">
        <f t="shared" si="0"/>
        <v>1.0348583877995643</v>
      </c>
      <c r="E42" s="62">
        <f t="shared" si="1"/>
        <v>0.6612145467200279</v>
      </c>
      <c r="F42" s="169">
        <f>SUM(МОБАЛ_Община:МБАЛ_Свищов!F42)</f>
        <v>826</v>
      </c>
      <c r="G42" s="61">
        <f t="shared" si="2"/>
        <v>3.992015968063872</v>
      </c>
      <c r="H42" s="34">
        <f t="shared" si="3"/>
        <v>2.8662641404677633</v>
      </c>
      <c r="I42" s="169">
        <f t="shared" si="4"/>
        <v>864</v>
      </c>
      <c r="J42" s="61">
        <f t="shared" si="5"/>
        <v>3.546317617071579</v>
      </c>
      <c r="K42" s="63">
        <f t="shared" si="6"/>
        <v>2.4996383625054244</v>
      </c>
    </row>
    <row r="43" spans="1:11" s="6" customFormat="1" ht="22.5" customHeight="1" thickBot="1">
      <c r="A43" s="99" t="s">
        <v>21</v>
      </c>
      <c r="B43" s="92" t="s">
        <v>64</v>
      </c>
      <c r="C43" s="135">
        <f>SUM(МОБАЛ_Община:МБАЛ_Свищов!C43)</f>
        <v>310</v>
      </c>
      <c r="D43" s="107">
        <f t="shared" si="0"/>
        <v>8.442265795206971</v>
      </c>
      <c r="E43" s="108">
        <f t="shared" si="1"/>
        <v>5.394118670610753</v>
      </c>
      <c r="F43" s="135">
        <f>SUM(МОБАЛ_Община:МБАЛ_Свищов!F43)</f>
        <v>0</v>
      </c>
      <c r="G43" s="107">
        <f t="shared" si="2"/>
        <v>0</v>
      </c>
      <c r="H43" s="108">
        <f t="shared" si="3"/>
        <v>0</v>
      </c>
      <c r="I43" s="135">
        <f t="shared" si="4"/>
        <v>310</v>
      </c>
      <c r="J43" s="107">
        <f t="shared" si="5"/>
        <v>1.2724056264955896</v>
      </c>
      <c r="K43" s="183">
        <f t="shared" si="6"/>
        <v>0.8968609865470852</v>
      </c>
    </row>
    <row r="44" spans="1:11" s="6" customFormat="1" ht="27" customHeight="1" thickBot="1">
      <c r="A44" s="9"/>
      <c r="B44" s="161" t="s">
        <v>81</v>
      </c>
      <c r="C44" s="168">
        <f>SUM(МОБАЛ_Община:МБАЛ_Свищов!C44)</f>
        <v>10</v>
      </c>
      <c r="D44" s="55">
        <f t="shared" si="0"/>
        <v>0.27233115468409586</v>
      </c>
      <c r="E44" s="36">
        <f t="shared" si="1"/>
        <v>0.17400382808421785</v>
      </c>
      <c r="F44" s="134">
        <f>SUM(МОБАЛ_Община:МБАЛ_Свищов!F44)</f>
        <v>0</v>
      </c>
      <c r="G44" s="55">
        <f t="shared" si="2"/>
        <v>0</v>
      </c>
      <c r="H44" s="36">
        <f t="shared" si="3"/>
        <v>0</v>
      </c>
      <c r="I44" s="171">
        <f t="shared" si="4"/>
        <v>10</v>
      </c>
      <c r="J44" s="55">
        <f t="shared" si="5"/>
        <v>0.041045342790180316</v>
      </c>
      <c r="K44" s="60">
        <f t="shared" si="6"/>
        <v>0.028930999566035006</v>
      </c>
    </row>
    <row r="45" spans="1:11" s="7" customFormat="1" ht="15" customHeight="1" thickBot="1">
      <c r="A45" s="4"/>
      <c r="B45" s="159" t="s">
        <v>79</v>
      </c>
      <c r="C45" s="169">
        <f>SUM(МОБАЛ_Община:МБАЛ_Свищов!C45)</f>
        <v>22</v>
      </c>
      <c r="D45" s="78">
        <f t="shared" si="0"/>
        <v>0.599128540305011</v>
      </c>
      <c r="E45" s="80">
        <f t="shared" si="1"/>
        <v>0.3828084217852793</v>
      </c>
      <c r="F45" s="137">
        <f>SUM(МОБАЛ_Община:МБАЛ_Свищов!F45)</f>
        <v>0</v>
      </c>
      <c r="G45" s="78">
        <f t="shared" si="2"/>
        <v>0</v>
      </c>
      <c r="H45" s="80">
        <f t="shared" si="3"/>
        <v>0</v>
      </c>
      <c r="I45" s="174">
        <f t="shared" si="4"/>
        <v>22</v>
      </c>
      <c r="J45" s="78">
        <f t="shared" si="5"/>
        <v>0.09029975413839669</v>
      </c>
      <c r="K45" s="81">
        <f t="shared" si="6"/>
        <v>0.06364819904527702</v>
      </c>
    </row>
    <row r="46" spans="1:11" s="7" customFormat="1" ht="19.5" customHeight="1" thickBot="1">
      <c r="A46" s="99" t="s">
        <v>77</v>
      </c>
      <c r="B46" s="92" t="s">
        <v>63</v>
      </c>
      <c r="C46" s="135">
        <f>SUM(МОБАЛ_Община:МБАЛ_Свищов!C46)</f>
        <v>11</v>
      </c>
      <c r="D46" s="191">
        <f t="shared" si="0"/>
        <v>0.2995642701525055</v>
      </c>
      <c r="E46" s="192">
        <f t="shared" si="1"/>
        <v>0.19140421089263965</v>
      </c>
      <c r="F46" s="135">
        <f>SUM(МОБАЛ_Община:МБАЛ_Свищов!F46)</f>
        <v>2</v>
      </c>
      <c r="G46" s="191">
        <f t="shared" si="2"/>
        <v>0.00966589822775756</v>
      </c>
      <c r="H46" s="108">
        <f t="shared" si="3"/>
        <v>0.006940106877645916</v>
      </c>
      <c r="I46" s="185">
        <f t="shared" si="4"/>
        <v>13</v>
      </c>
      <c r="J46" s="191">
        <f t="shared" si="5"/>
        <v>0.05335894562723441</v>
      </c>
      <c r="K46" s="193">
        <f t="shared" si="6"/>
        <v>0.037610299435845505</v>
      </c>
    </row>
    <row r="47" spans="1:11" s="6" customFormat="1" ht="20.25" customHeight="1" thickBot="1">
      <c r="A47" s="99" t="s">
        <v>29</v>
      </c>
      <c r="B47" s="92" t="s">
        <v>65</v>
      </c>
      <c r="C47" s="135">
        <f>SUM(МОБАЛ_Община:МБАЛ_Свищов!C47)</f>
        <v>235</v>
      </c>
      <c r="D47" s="107">
        <f t="shared" si="0"/>
        <v>6.3997821350762525</v>
      </c>
      <c r="E47" s="108">
        <f t="shared" si="1"/>
        <v>4.08908995997912</v>
      </c>
      <c r="F47" s="135">
        <f>SUM(МОБАЛ_Община:МБАЛ_Свищов!F47)</f>
        <v>384</v>
      </c>
      <c r="G47" s="107">
        <f t="shared" si="2"/>
        <v>1.8558524597294515</v>
      </c>
      <c r="H47" s="108">
        <f t="shared" si="3"/>
        <v>1.3325005205080158</v>
      </c>
      <c r="I47" s="135">
        <f t="shared" si="4"/>
        <v>619</v>
      </c>
      <c r="J47" s="107">
        <f t="shared" si="5"/>
        <v>2.5407067187121615</v>
      </c>
      <c r="K47" s="183">
        <f t="shared" si="6"/>
        <v>1.790828873137567</v>
      </c>
    </row>
    <row r="48" spans="1:11" s="6" customFormat="1" ht="16.5" customHeight="1" thickBot="1">
      <c r="A48" s="99" t="s">
        <v>30</v>
      </c>
      <c r="B48" s="92" t="s">
        <v>66</v>
      </c>
      <c r="C48" s="135">
        <f>SUM(МОБАЛ_Община:МБАЛ_Свищов!C48)</f>
        <v>605</v>
      </c>
      <c r="D48" s="107">
        <f t="shared" si="0"/>
        <v>16.4760348583878</v>
      </c>
      <c r="E48" s="108">
        <f t="shared" si="1"/>
        <v>10.52723159909518</v>
      </c>
      <c r="F48" s="135">
        <f>SUM(МОБАЛ_Община:МБАЛ_Свищов!F48)</f>
        <v>1605</v>
      </c>
      <c r="G48" s="107">
        <f t="shared" si="2"/>
        <v>7.756883327775442</v>
      </c>
      <c r="H48" s="108">
        <f t="shared" si="3"/>
        <v>5.569435769310847</v>
      </c>
      <c r="I48" s="135">
        <f t="shared" si="4"/>
        <v>2210</v>
      </c>
      <c r="J48" s="107">
        <f t="shared" si="5"/>
        <v>9.07102075662985</v>
      </c>
      <c r="K48" s="183">
        <f t="shared" si="6"/>
        <v>6.393750904093737</v>
      </c>
    </row>
    <row r="49" spans="1:11" s="7" customFormat="1" ht="19.5" customHeight="1">
      <c r="A49" s="4"/>
      <c r="B49" s="40" t="s">
        <v>67</v>
      </c>
      <c r="C49" s="168">
        <f>SUM(МОБАЛ_Община:МБАЛ_Свищов!C49)</f>
        <v>107</v>
      </c>
      <c r="D49" s="55">
        <f t="shared" si="0"/>
        <v>2.9139433551198257</v>
      </c>
      <c r="E49" s="58">
        <f t="shared" si="1"/>
        <v>1.861840960501131</v>
      </c>
      <c r="F49" s="168">
        <f>SUM(МОБАЛ_Община:МБАЛ_Свищов!F49)</f>
        <v>426</v>
      </c>
      <c r="G49" s="55">
        <f t="shared" si="2"/>
        <v>2.0588363225123603</v>
      </c>
      <c r="H49" s="36">
        <f t="shared" si="3"/>
        <v>1.47824276493858</v>
      </c>
      <c r="I49" s="171">
        <f t="shared" si="4"/>
        <v>533</v>
      </c>
      <c r="J49" s="55">
        <f t="shared" si="5"/>
        <v>2.1877167707166105</v>
      </c>
      <c r="K49" s="60">
        <f t="shared" si="6"/>
        <v>1.5420222768696659</v>
      </c>
    </row>
    <row r="50" spans="1:11" s="7" customFormat="1" ht="12.75" customHeight="1">
      <c r="A50" s="4"/>
      <c r="B50" s="38" t="s">
        <v>71</v>
      </c>
      <c r="C50" s="204">
        <f>SUM(МОБАЛ_Община:МБАЛ_Свищов!C50)</f>
        <v>3</v>
      </c>
      <c r="D50" s="205">
        <f t="shared" si="0"/>
        <v>0.08169934640522876</v>
      </c>
      <c r="E50" s="206">
        <f t="shared" si="1"/>
        <v>0.052201148425265353</v>
      </c>
      <c r="F50" s="210">
        <f>SUM(МОБАЛ_Община:МБАЛ_Свищов!F50)</f>
        <v>12</v>
      </c>
      <c r="G50" s="205">
        <f t="shared" si="2"/>
        <v>0.05799538936654536</v>
      </c>
      <c r="H50" s="207">
        <f t="shared" si="3"/>
        <v>0.041640641265875494</v>
      </c>
      <c r="I50" s="204">
        <f t="shared" si="4"/>
        <v>15</v>
      </c>
      <c r="J50" s="205">
        <f t="shared" si="5"/>
        <v>0.06156801418527047</v>
      </c>
      <c r="K50" s="208">
        <f t="shared" si="6"/>
        <v>0.04339649934905251</v>
      </c>
    </row>
    <row r="51" spans="1:11" s="6" customFormat="1" ht="21.75" customHeight="1">
      <c r="A51" s="4"/>
      <c r="B51" s="38" t="s">
        <v>68</v>
      </c>
      <c r="C51" s="172">
        <f>SUM(МОБАЛ_Община:МБАЛ_Свищов!C51)</f>
        <v>10</v>
      </c>
      <c r="D51" s="64">
        <f t="shared" si="0"/>
        <v>0.27233115468409586</v>
      </c>
      <c r="E51" s="65">
        <f aca="true" t="shared" si="7" ref="E51:E57">C51*100/C$58</f>
        <v>0.17400382808421785</v>
      </c>
      <c r="F51" s="172">
        <f>SUM(МОБАЛ_Община:МБАЛ_Свищов!F51)</f>
        <v>107</v>
      </c>
      <c r="G51" s="64">
        <f t="shared" si="2"/>
        <v>0.5171255551850295</v>
      </c>
      <c r="H51" s="37">
        <f t="shared" si="3"/>
        <v>0.37129571795405647</v>
      </c>
      <c r="I51" s="172">
        <f t="shared" si="4"/>
        <v>117</v>
      </c>
      <c r="J51" s="64">
        <f t="shared" si="5"/>
        <v>0.48023051064510963</v>
      </c>
      <c r="K51" s="66">
        <f t="shared" si="6"/>
        <v>0.3384926949226096</v>
      </c>
    </row>
    <row r="52" spans="1:11" ht="12.75" customHeight="1">
      <c r="A52" s="4"/>
      <c r="B52" s="38" t="s">
        <v>72</v>
      </c>
      <c r="C52" s="204">
        <f>SUM(МОБАЛ_Община:МБАЛ_Свищов!C52)</f>
        <v>0</v>
      </c>
      <c r="D52" s="205">
        <f t="shared" si="0"/>
        <v>0</v>
      </c>
      <c r="E52" s="206">
        <f t="shared" si="7"/>
        <v>0</v>
      </c>
      <c r="F52" s="204">
        <f>SUM(МОБАЛ_Община:МБАЛ_Свищов!F52)</f>
        <v>37</v>
      </c>
      <c r="G52" s="205">
        <f t="shared" si="2"/>
        <v>0.17881911721351487</v>
      </c>
      <c r="H52" s="207">
        <f t="shared" si="3"/>
        <v>0.12839197723644943</v>
      </c>
      <c r="I52" s="204">
        <f t="shared" si="4"/>
        <v>37</v>
      </c>
      <c r="J52" s="205">
        <f t="shared" si="5"/>
        <v>0.15186776832366716</v>
      </c>
      <c r="K52" s="208">
        <f t="shared" si="6"/>
        <v>0.10704469839432952</v>
      </c>
    </row>
    <row r="53" spans="1:11" ht="18" customHeight="1">
      <c r="A53" s="4"/>
      <c r="B53" s="38" t="s">
        <v>69</v>
      </c>
      <c r="C53" s="172">
        <f>SUM(МОБАЛ_Община:МБАЛ_Свищов!C53)</f>
        <v>105</v>
      </c>
      <c r="D53" s="64">
        <f t="shared" si="0"/>
        <v>2.8594771241830066</v>
      </c>
      <c r="E53" s="65">
        <f t="shared" si="7"/>
        <v>1.8270401948842874</v>
      </c>
      <c r="F53" s="172">
        <f>SUM(МОБАЛ_Община:МБАЛ_Свищов!F53)</f>
        <v>411</v>
      </c>
      <c r="G53" s="64">
        <f t="shared" si="2"/>
        <v>1.9863420858041785</v>
      </c>
      <c r="H53" s="37">
        <f t="shared" si="3"/>
        <v>1.4261919633562357</v>
      </c>
      <c r="I53" s="172">
        <f t="shared" si="4"/>
        <v>516</v>
      </c>
      <c r="J53" s="64">
        <f t="shared" si="5"/>
        <v>2.117939687973304</v>
      </c>
      <c r="K53" s="66">
        <f t="shared" si="6"/>
        <v>1.4928395776074064</v>
      </c>
    </row>
    <row r="54" spans="1:11" ht="12.75" customHeight="1">
      <c r="A54" s="4"/>
      <c r="B54" s="38" t="s">
        <v>73</v>
      </c>
      <c r="C54" s="204">
        <f>SUM(МОБАЛ_Община:МБАЛ_Свищов!C54)</f>
        <v>92</v>
      </c>
      <c r="D54" s="205">
        <f t="shared" si="0"/>
        <v>2.505446623093682</v>
      </c>
      <c r="E54" s="206">
        <f t="shared" si="7"/>
        <v>1.6008352183748042</v>
      </c>
      <c r="F54" s="204">
        <f>SUM(МОБАЛ_Община:МБАЛ_Свищов!F54)</f>
        <v>247</v>
      </c>
      <c r="G54" s="205">
        <f t="shared" si="2"/>
        <v>1.1937384311280586</v>
      </c>
      <c r="H54" s="207">
        <f t="shared" si="3"/>
        <v>0.8571031993892706</v>
      </c>
      <c r="I54" s="204">
        <f t="shared" si="4"/>
        <v>339</v>
      </c>
      <c r="J54" s="205">
        <f t="shared" si="5"/>
        <v>1.3914371205871126</v>
      </c>
      <c r="K54" s="208">
        <f t="shared" si="6"/>
        <v>0.9807608852885867</v>
      </c>
    </row>
    <row r="55" spans="1:11" ht="18.75" customHeight="1">
      <c r="A55" s="4"/>
      <c r="B55" s="38" t="s">
        <v>70</v>
      </c>
      <c r="C55" s="172">
        <f>SUM(МОБАЛ_Община:МБАЛ_Свищов!C55)</f>
        <v>23</v>
      </c>
      <c r="D55" s="64">
        <f t="shared" si="0"/>
        <v>0.6263616557734205</v>
      </c>
      <c r="E55" s="65">
        <f t="shared" si="7"/>
        <v>0.40020880459370106</v>
      </c>
      <c r="F55" s="171">
        <f>SUM(МОБАЛ_Община:МБАЛ_Свищов!F55)</f>
        <v>461</v>
      </c>
      <c r="G55" s="64">
        <f t="shared" si="2"/>
        <v>2.2279895414981175</v>
      </c>
      <c r="H55" s="37">
        <f t="shared" si="3"/>
        <v>1.5996946352973835</v>
      </c>
      <c r="I55" s="172">
        <f t="shared" si="4"/>
        <v>484</v>
      </c>
      <c r="J55" s="64">
        <f t="shared" si="5"/>
        <v>1.9865945910447271</v>
      </c>
      <c r="K55" s="66">
        <f t="shared" si="6"/>
        <v>1.4002603789960943</v>
      </c>
    </row>
    <row r="56" spans="1:11" ht="11.25" customHeight="1">
      <c r="A56" s="4"/>
      <c r="B56" s="38" t="s">
        <v>74</v>
      </c>
      <c r="C56" s="204">
        <f>SUM(МОБАЛ_Община:МБАЛ_Свищов!C56)</f>
        <v>14</v>
      </c>
      <c r="D56" s="205">
        <f t="shared" si="0"/>
        <v>0.3812636165577342</v>
      </c>
      <c r="E56" s="206">
        <f t="shared" si="7"/>
        <v>0.243605359317905</v>
      </c>
      <c r="F56" s="204">
        <f>SUM(МОБАЛ_Община:МБАЛ_Свищов!F56)</f>
        <v>420</v>
      </c>
      <c r="G56" s="205">
        <f t="shared" si="2"/>
        <v>2.0298386278290876</v>
      </c>
      <c r="H56" s="207">
        <f t="shared" si="3"/>
        <v>1.4574224443056423</v>
      </c>
      <c r="I56" s="204">
        <f t="shared" si="4"/>
        <v>434</v>
      </c>
      <c r="J56" s="205">
        <f t="shared" si="5"/>
        <v>1.7813678770938255</v>
      </c>
      <c r="K56" s="208">
        <f t="shared" si="6"/>
        <v>1.2556053811659194</v>
      </c>
    </row>
    <row r="57" spans="1:11" ht="17.25" customHeight="1" thickBot="1">
      <c r="A57" s="4"/>
      <c r="B57" s="38" t="s">
        <v>33</v>
      </c>
      <c r="C57" s="173">
        <f>SUM(МОБАЛ_Община:МБАЛ_Свищов!C57)</f>
        <v>46</v>
      </c>
      <c r="D57" s="70">
        <f t="shared" si="0"/>
        <v>1.252723311546841</v>
      </c>
      <c r="E57" s="71">
        <f t="shared" si="7"/>
        <v>0.8004176091874021</v>
      </c>
      <c r="F57" s="173">
        <f>SUM(МОБАЛ_Община:МБАЛ_Свищов!F57)</f>
        <v>52</v>
      </c>
      <c r="G57" s="70">
        <f t="shared" si="2"/>
        <v>0.25131335392169657</v>
      </c>
      <c r="H57" s="71">
        <f t="shared" si="3"/>
        <v>0.1804427788187938</v>
      </c>
      <c r="I57" s="175">
        <f t="shared" si="4"/>
        <v>98</v>
      </c>
      <c r="J57" s="70">
        <f t="shared" si="5"/>
        <v>0.40224435934376707</v>
      </c>
      <c r="K57" s="73">
        <f t="shared" si="6"/>
        <v>0.28352379574714304</v>
      </c>
    </row>
    <row r="58" spans="1:11" ht="15.75" thickBot="1">
      <c r="A58" s="82"/>
      <c r="B58" s="144" t="s">
        <v>22</v>
      </c>
      <c r="C58" s="184">
        <f>C48+C47+C46+C43+C38+C34+C33+C32+C27+C22+C18+C17+C16+C14+C13+C11+C10+C8+C5</f>
        <v>5747</v>
      </c>
      <c r="D58" s="203">
        <f>C58*1000/$D$2</f>
        <v>156.5087145969499</v>
      </c>
      <c r="E58" s="108"/>
      <c r="F58" s="137">
        <f>SUM(МОБАЛ_Община:МБАЛ_Свищов!F58)</f>
        <v>28818</v>
      </c>
      <c r="G58" s="203">
        <f>F58*1000/$G$2</f>
        <v>139.27592756375867</v>
      </c>
      <c r="H58" s="202"/>
      <c r="I58" s="135">
        <f t="shared" si="4"/>
        <v>34565</v>
      </c>
      <c r="J58" s="203">
        <f>I58*1000/$J$2</f>
        <v>141.87322735425826</v>
      </c>
      <c r="K58" s="183"/>
    </row>
    <row r="59" ht="15.75" customHeight="1"/>
    <row r="60" ht="11.25" customHeight="1"/>
  </sheetData>
  <sheetProtection/>
  <mergeCells count="2">
    <mergeCell ref="B3:B4"/>
    <mergeCell ref="A1:K1"/>
  </mergeCells>
  <printOptions horizontalCentered="1" verticalCentered="1"/>
  <pageMargins left="0.2362204724409449" right="0.2362204724409449" top="0.5905511811023623" bottom="0.4330708661417323" header="0.2362204724409449" footer="0.2362204724409449"/>
  <pageSetup blackAndWhite="1" horizontalDpi="600" verticalDpi="600" orientation="landscape" paperSize="9" r:id="rId1"/>
  <headerFooter alignWithMargins="0">
    <oddFooter>&amp;L&amp;9&amp;Z&amp;10  &amp;"Tahoma,Обикновен"&amp;F   (&amp;"Tahoma,Курсив" oblast )&amp;R&amp;P -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75" zoomScaleNormal="75" zoomScalePageLayoutView="0" workbookViewId="0" topLeftCell="A1">
      <pane xSplit="1" ySplit="4" topLeftCell="B11" activePane="bottomRight" state="frozen"/>
      <selection pane="topLeft" activeCell="C7" sqref="C7"/>
      <selection pane="topRight" activeCell="C7" sqref="C7"/>
      <selection pane="bottomLeft" activeCell="C7" sqref="C7"/>
      <selection pane="bottomRight" activeCell="I32" sqref="I32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37" t="s">
        <v>92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20.25" customHeight="1" thickBot="1">
      <c r="A2" s="21"/>
      <c r="B2" s="22"/>
      <c r="C2" s="2"/>
      <c r="D2" s="229">
        <v>36720</v>
      </c>
      <c r="E2" s="23"/>
      <c r="F2" s="23"/>
      <c r="G2" s="229">
        <f>J2-D2</f>
        <v>206913</v>
      </c>
      <c r="H2" s="2"/>
      <c r="I2" s="2"/>
      <c r="J2" s="229">
        <v>243633</v>
      </c>
      <c r="K2" s="2"/>
    </row>
    <row r="3" spans="1:11" ht="12.75">
      <c r="A3" s="239" t="s">
        <v>24</v>
      </c>
      <c r="B3" s="241" t="s">
        <v>5</v>
      </c>
      <c r="C3" s="130" t="s">
        <v>1</v>
      </c>
      <c r="D3" s="129"/>
      <c r="E3" s="129"/>
      <c r="F3" s="130" t="s">
        <v>2</v>
      </c>
      <c r="G3" s="129"/>
      <c r="H3" s="129"/>
      <c r="I3" s="130" t="s">
        <v>3</v>
      </c>
      <c r="J3" s="129"/>
      <c r="K3" s="131"/>
    </row>
    <row r="4" spans="1:11" ht="33.75" customHeight="1" thickBot="1">
      <c r="A4" s="250"/>
      <c r="B4" s="242"/>
      <c r="C4" s="126" t="s">
        <v>6</v>
      </c>
      <c r="D4" s="124" t="s">
        <v>7</v>
      </c>
      <c r="E4" s="125" t="s">
        <v>8</v>
      </c>
      <c r="F4" s="126" t="s">
        <v>6</v>
      </c>
      <c r="G4" s="124" t="s">
        <v>7</v>
      </c>
      <c r="H4" s="125" t="s">
        <v>8</v>
      </c>
      <c r="I4" s="126" t="s">
        <v>6</v>
      </c>
      <c r="J4" s="124" t="s">
        <v>7</v>
      </c>
      <c r="K4" s="127" t="s">
        <v>8</v>
      </c>
    </row>
    <row r="5" spans="1:11" ht="16.5" customHeight="1" thickBot="1">
      <c r="A5" s="90" t="s">
        <v>9</v>
      </c>
      <c r="B5" s="154" t="s">
        <v>26</v>
      </c>
      <c r="C5" s="145"/>
      <c r="D5" s="94">
        <f aca="true" t="shared" si="0" ref="D5:D36">C5*1000/$D$2</f>
        <v>0</v>
      </c>
      <c r="E5" s="95">
        <f>IF(C$58=0,0,C5*100/C$58)</f>
        <v>0</v>
      </c>
      <c r="F5" s="135">
        <v>1</v>
      </c>
      <c r="G5" s="94">
        <f aca="true" t="shared" si="1" ref="G5:G36">F5*1000/$G$2</f>
        <v>0.00483294911387878</v>
      </c>
      <c r="H5" s="95">
        <f aca="true" t="shared" si="2" ref="H5:H36">F5*100/F$58</f>
        <v>0.04233700254022015</v>
      </c>
      <c r="I5" s="145">
        <f aca="true" t="shared" si="3" ref="I5:I36">SUM(C5,F5)</f>
        <v>1</v>
      </c>
      <c r="J5" s="94">
        <f aca="true" t="shared" si="4" ref="J5:J36">I5*1000/$J$2</f>
        <v>0.004104534279018031</v>
      </c>
      <c r="K5" s="97">
        <f aca="true" t="shared" si="5" ref="K5:K36">I5*100/I$58</f>
        <v>0.04233700254022015</v>
      </c>
    </row>
    <row r="6" spans="1:11" s="1" customFormat="1" ht="12.75" customHeight="1">
      <c r="A6" s="4"/>
      <c r="B6" s="40" t="s">
        <v>36</v>
      </c>
      <c r="C6" s="146"/>
      <c r="D6" s="18">
        <f t="shared" si="0"/>
        <v>0</v>
      </c>
      <c r="E6" s="31">
        <f aca="true" t="shared" si="6" ref="E6:E57">IF(C$58=0,0,C6*100/C$58)</f>
        <v>0</v>
      </c>
      <c r="F6" s="138"/>
      <c r="G6" s="18">
        <f t="shared" si="1"/>
        <v>0</v>
      </c>
      <c r="H6" s="31">
        <f t="shared" si="2"/>
        <v>0</v>
      </c>
      <c r="I6" s="138">
        <f t="shared" si="3"/>
        <v>0</v>
      </c>
      <c r="J6" s="18">
        <f t="shared" si="4"/>
        <v>0</v>
      </c>
      <c r="K6" s="19">
        <f t="shared" si="5"/>
        <v>0</v>
      </c>
    </row>
    <row r="7" spans="1:11" s="1" customFormat="1" ht="14.25" customHeight="1" thickBot="1">
      <c r="A7" s="4"/>
      <c r="B7" s="39" t="s">
        <v>37</v>
      </c>
      <c r="C7" s="147"/>
      <c r="D7" s="12">
        <f t="shared" si="0"/>
        <v>0</v>
      </c>
      <c r="E7" s="32">
        <f t="shared" si="6"/>
        <v>0</v>
      </c>
      <c r="F7" s="133"/>
      <c r="G7" s="14">
        <f t="shared" si="1"/>
        <v>0</v>
      </c>
      <c r="H7" s="35">
        <f t="shared" si="2"/>
        <v>0</v>
      </c>
      <c r="I7" s="140">
        <f t="shared" si="3"/>
        <v>0</v>
      </c>
      <c r="J7" s="14">
        <f t="shared" si="4"/>
        <v>0</v>
      </c>
      <c r="K7" s="13">
        <f t="shared" si="5"/>
        <v>0</v>
      </c>
    </row>
    <row r="8" spans="1:11" ht="13.5" customHeight="1" thickBot="1">
      <c r="A8" s="90" t="s">
        <v>10</v>
      </c>
      <c r="B8" s="100" t="s">
        <v>38</v>
      </c>
      <c r="C8" s="148"/>
      <c r="D8" s="94">
        <f t="shared" si="0"/>
        <v>0</v>
      </c>
      <c r="E8" s="95">
        <f t="shared" si="6"/>
        <v>0</v>
      </c>
      <c r="F8" s="135"/>
      <c r="G8" s="94">
        <f t="shared" si="1"/>
        <v>0</v>
      </c>
      <c r="H8" s="95">
        <f t="shared" si="2"/>
        <v>0</v>
      </c>
      <c r="I8" s="145">
        <f t="shared" si="3"/>
        <v>0</v>
      </c>
      <c r="J8" s="94">
        <f t="shared" si="4"/>
        <v>0</v>
      </c>
      <c r="K8" s="97">
        <f t="shared" si="5"/>
        <v>0</v>
      </c>
    </row>
    <row r="9" spans="1:11" s="1" customFormat="1" ht="15" customHeight="1" thickBot="1">
      <c r="A9" s="16"/>
      <c r="B9" s="40" t="s">
        <v>39</v>
      </c>
      <c r="C9" s="146"/>
      <c r="D9" s="18">
        <f t="shared" si="0"/>
        <v>0</v>
      </c>
      <c r="E9" s="31">
        <f t="shared" si="6"/>
        <v>0</v>
      </c>
      <c r="F9" s="133"/>
      <c r="G9" s="18">
        <f t="shared" si="1"/>
        <v>0</v>
      </c>
      <c r="H9" s="31">
        <f t="shared" si="2"/>
        <v>0</v>
      </c>
      <c r="I9" s="138">
        <f t="shared" si="3"/>
        <v>0</v>
      </c>
      <c r="J9" s="18">
        <f t="shared" si="4"/>
        <v>0</v>
      </c>
      <c r="K9" s="19">
        <f t="shared" si="5"/>
        <v>0</v>
      </c>
    </row>
    <row r="10" spans="1:11" s="6" customFormat="1" ht="15.75" customHeight="1" thickBot="1">
      <c r="A10" s="91" t="s">
        <v>11</v>
      </c>
      <c r="B10" s="92" t="s">
        <v>40</v>
      </c>
      <c r="C10" s="148"/>
      <c r="D10" s="94">
        <f t="shared" si="0"/>
        <v>0</v>
      </c>
      <c r="E10" s="95">
        <f t="shared" si="6"/>
        <v>0</v>
      </c>
      <c r="F10" s="135"/>
      <c r="G10" s="94">
        <f t="shared" si="1"/>
        <v>0</v>
      </c>
      <c r="H10" s="95">
        <f t="shared" si="2"/>
        <v>0</v>
      </c>
      <c r="I10" s="145">
        <f t="shared" si="3"/>
        <v>0</v>
      </c>
      <c r="J10" s="94">
        <f t="shared" si="4"/>
        <v>0</v>
      </c>
      <c r="K10" s="97">
        <f t="shared" si="5"/>
        <v>0</v>
      </c>
    </row>
    <row r="11" spans="1:11" s="6" customFormat="1" ht="30" customHeight="1" thickBot="1">
      <c r="A11" s="98" t="s">
        <v>12</v>
      </c>
      <c r="B11" s="92" t="s">
        <v>41</v>
      </c>
      <c r="C11" s="148"/>
      <c r="D11" s="94">
        <f t="shared" si="0"/>
        <v>0</v>
      </c>
      <c r="E11" s="95">
        <f t="shared" si="6"/>
        <v>0</v>
      </c>
      <c r="F11" s="135"/>
      <c r="G11" s="94">
        <f t="shared" si="1"/>
        <v>0</v>
      </c>
      <c r="H11" s="95">
        <f t="shared" si="2"/>
        <v>0</v>
      </c>
      <c r="I11" s="145">
        <f t="shared" si="3"/>
        <v>0</v>
      </c>
      <c r="J11" s="94">
        <f t="shared" si="4"/>
        <v>0</v>
      </c>
      <c r="K11" s="97">
        <f t="shared" si="5"/>
        <v>0</v>
      </c>
    </row>
    <row r="12" spans="1:11" s="6" customFormat="1" ht="16.5" customHeight="1" thickBot="1">
      <c r="A12" s="17"/>
      <c r="B12" s="41" t="s">
        <v>78</v>
      </c>
      <c r="C12" s="149"/>
      <c r="D12" s="29">
        <f t="shared" si="0"/>
        <v>0</v>
      </c>
      <c r="E12" s="34">
        <f t="shared" si="6"/>
        <v>0</v>
      </c>
      <c r="F12" s="133"/>
      <c r="G12" s="29">
        <f t="shared" si="1"/>
        <v>0</v>
      </c>
      <c r="H12" s="34">
        <f t="shared" si="2"/>
        <v>0</v>
      </c>
      <c r="I12" s="133">
        <f t="shared" si="3"/>
        <v>0</v>
      </c>
      <c r="J12" s="29">
        <f t="shared" si="4"/>
        <v>0</v>
      </c>
      <c r="K12" s="30">
        <f t="shared" si="5"/>
        <v>0</v>
      </c>
    </row>
    <row r="13" spans="1:11" s="6" customFormat="1" ht="15" customHeight="1" thickBot="1">
      <c r="A13" s="99" t="s">
        <v>13</v>
      </c>
      <c r="B13" s="100" t="s">
        <v>42</v>
      </c>
      <c r="C13" s="162"/>
      <c r="D13" s="102">
        <f t="shared" si="0"/>
        <v>0</v>
      </c>
      <c r="E13" s="103">
        <f t="shared" si="6"/>
        <v>0</v>
      </c>
      <c r="F13" s="135"/>
      <c r="G13" s="102">
        <f t="shared" si="1"/>
        <v>0</v>
      </c>
      <c r="H13" s="103">
        <f t="shared" si="2"/>
        <v>0</v>
      </c>
      <c r="I13" s="163">
        <f t="shared" si="3"/>
        <v>0</v>
      </c>
      <c r="J13" s="102">
        <f t="shared" si="4"/>
        <v>0</v>
      </c>
      <c r="K13" s="104">
        <f t="shared" si="5"/>
        <v>0</v>
      </c>
    </row>
    <row r="14" spans="1:11" s="6" customFormat="1" ht="15.75" customHeight="1" thickBot="1">
      <c r="A14" s="98" t="s">
        <v>14</v>
      </c>
      <c r="B14" s="92" t="s">
        <v>43</v>
      </c>
      <c r="C14" s="148"/>
      <c r="D14" s="94">
        <f t="shared" si="0"/>
        <v>0</v>
      </c>
      <c r="E14" s="95">
        <f t="shared" si="6"/>
        <v>0</v>
      </c>
      <c r="F14" s="135"/>
      <c r="G14" s="94">
        <f t="shared" si="1"/>
        <v>0</v>
      </c>
      <c r="H14" s="95">
        <f t="shared" si="2"/>
        <v>0</v>
      </c>
      <c r="I14" s="145">
        <f t="shared" si="3"/>
        <v>0</v>
      </c>
      <c r="J14" s="94">
        <f t="shared" si="4"/>
        <v>0</v>
      </c>
      <c r="K14" s="113">
        <f t="shared" si="5"/>
        <v>0</v>
      </c>
    </row>
    <row r="15" spans="1:11" s="1" customFormat="1" ht="15.75" customHeight="1" thickBot="1">
      <c r="A15" s="4"/>
      <c r="B15" s="42" t="s">
        <v>44</v>
      </c>
      <c r="C15" s="150"/>
      <c r="D15" s="14">
        <f t="shared" si="0"/>
        <v>0</v>
      </c>
      <c r="E15" s="35">
        <f t="shared" si="6"/>
        <v>0</v>
      </c>
      <c r="F15" s="133"/>
      <c r="G15" s="14">
        <f t="shared" si="1"/>
        <v>0</v>
      </c>
      <c r="H15" s="35">
        <f t="shared" si="2"/>
        <v>0</v>
      </c>
      <c r="I15" s="140">
        <f t="shared" si="3"/>
        <v>0</v>
      </c>
      <c r="J15" s="14">
        <f t="shared" si="4"/>
        <v>0</v>
      </c>
      <c r="K15" s="20">
        <f t="shared" si="5"/>
        <v>0</v>
      </c>
    </row>
    <row r="16" spans="1:11" s="1" customFormat="1" ht="16.5" customHeight="1" thickBot="1">
      <c r="A16" s="105" t="s">
        <v>15</v>
      </c>
      <c r="B16" s="100" t="s">
        <v>27</v>
      </c>
      <c r="C16" s="151"/>
      <c r="D16" s="107">
        <f t="shared" si="0"/>
        <v>0</v>
      </c>
      <c r="E16" s="108">
        <f t="shared" si="6"/>
        <v>0</v>
      </c>
      <c r="F16" s="135"/>
      <c r="G16" s="107">
        <f t="shared" si="1"/>
        <v>0</v>
      </c>
      <c r="H16" s="108">
        <f t="shared" si="2"/>
        <v>0</v>
      </c>
      <c r="I16" s="135">
        <f t="shared" si="3"/>
        <v>0</v>
      </c>
      <c r="J16" s="107">
        <f t="shared" si="4"/>
        <v>0</v>
      </c>
      <c r="K16" s="109">
        <f t="shared" si="5"/>
        <v>0</v>
      </c>
    </row>
    <row r="17" spans="1:11" s="6" customFormat="1" ht="18" customHeight="1" thickBot="1">
      <c r="A17" s="110" t="s">
        <v>16</v>
      </c>
      <c r="B17" s="92" t="s">
        <v>45</v>
      </c>
      <c r="C17" s="148"/>
      <c r="D17" s="94">
        <f t="shared" si="0"/>
        <v>0</v>
      </c>
      <c r="E17" s="95">
        <f t="shared" si="6"/>
        <v>0</v>
      </c>
      <c r="F17" s="137"/>
      <c r="G17" s="94">
        <f t="shared" si="1"/>
        <v>0</v>
      </c>
      <c r="H17" s="95">
        <f t="shared" si="2"/>
        <v>0</v>
      </c>
      <c r="I17" s="145">
        <f t="shared" si="3"/>
        <v>0</v>
      </c>
      <c r="J17" s="94">
        <f t="shared" si="4"/>
        <v>0</v>
      </c>
      <c r="K17" s="97">
        <f t="shared" si="5"/>
        <v>0</v>
      </c>
    </row>
    <row r="18" spans="1:11" s="6" customFormat="1" ht="18" customHeight="1" thickBot="1">
      <c r="A18" s="98" t="s">
        <v>17</v>
      </c>
      <c r="B18" s="156" t="s">
        <v>46</v>
      </c>
      <c r="C18" s="148"/>
      <c r="D18" s="94">
        <f t="shared" si="0"/>
        <v>0</v>
      </c>
      <c r="E18" s="95">
        <f t="shared" si="6"/>
        <v>0</v>
      </c>
      <c r="F18" s="135">
        <f>832+1328+22+3</f>
        <v>2185</v>
      </c>
      <c r="G18" s="94">
        <f t="shared" si="1"/>
        <v>10.559993813825134</v>
      </c>
      <c r="H18" s="95">
        <f t="shared" si="2"/>
        <v>92.50635055038103</v>
      </c>
      <c r="I18" s="145">
        <f t="shared" si="3"/>
        <v>2185</v>
      </c>
      <c r="J18" s="94">
        <f t="shared" si="4"/>
        <v>8.968407399654398</v>
      </c>
      <c r="K18" s="97">
        <f t="shared" si="5"/>
        <v>92.50635055038103</v>
      </c>
    </row>
    <row r="19" spans="1:11" s="1" customFormat="1" ht="14.25" customHeight="1">
      <c r="A19" s="4"/>
      <c r="B19" s="38" t="s">
        <v>47</v>
      </c>
      <c r="C19" s="146"/>
      <c r="D19" s="18">
        <f t="shared" si="0"/>
        <v>0</v>
      </c>
      <c r="E19" s="31">
        <f t="shared" si="6"/>
        <v>0</v>
      </c>
      <c r="F19" s="138">
        <v>2</v>
      </c>
      <c r="G19" s="18">
        <f t="shared" si="1"/>
        <v>0.00966589822775756</v>
      </c>
      <c r="H19" s="31">
        <f t="shared" si="2"/>
        <v>0.0846740050804403</v>
      </c>
      <c r="I19" s="138">
        <f t="shared" si="3"/>
        <v>2</v>
      </c>
      <c r="J19" s="18">
        <f t="shared" si="4"/>
        <v>0.008209068558036062</v>
      </c>
      <c r="K19" s="19">
        <f t="shared" si="5"/>
        <v>0.0846740050804403</v>
      </c>
    </row>
    <row r="20" spans="1:11" s="1" customFormat="1" ht="15.75" customHeight="1">
      <c r="A20" s="4"/>
      <c r="B20" s="38" t="s">
        <v>48</v>
      </c>
      <c r="C20" s="132"/>
      <c r="D20" s="12">
        <f t="shared" si="0"/>
        <v>0</v>
      </c>
      <c r="E20" s="32">
        <f t="shared" si="6"/>
        <v>0</v>
      </c>
      <c r="F20" s="132">
        <f>877+16+590+1</f>
        <v>1484</v>
      </c>
      <c r="G20" s="12">
        <f t="shared" si="1"/>
        <v>7.17209648499611</v>
      </c>
      <c r="H20" s="32">
        <f t="shared" si="2"/>
        <v>62.82811176968671</v>
      </c>
      <c r="I20" s="132">
        <f t="shared" si="3"/>
        <v>1484</v>
      </c>
      <c r="J20" s="12">
        <f t="shared" si="4"/>
        <v>6.091128870062758</v>
      </c>
      <c r="K20" s="13">
        <f t="shared" si="5"/>
        <v>62.82811176968671</v>
      </c>
    </row>
    <row r="21" spans="1:11" s="1" customFormat="1" ht="16.5" customHeight="1" thickBot="1">
      <c r="A21" s="4"/>
      <c r="B21" s="38" t="s">
        <v>49</v>
      </c>
      <c r="C21" s="132"/>
      <c r="D21" s="12">
        <f t="shared" si="0"/>
        <v>0</v>
      </c>
      <c r="E21" s="32">
        <f t="shared" si="6"/>
        <v>0</v>
      </c>
      <c r="F21" s="133"/>
      <c r="G21" s="12">
        <f t="shared" si="1"/>
        <v>0</v>
      </c>
      <c r="H21" s="32">
        <f t="shared" si="2"/>
        <v>0</v>
      </c>
      <c r="I21" s="132">
        <f t="shared" si="3"/>
        <v>0</v>
      </c>
      <c r="J21" s="12">
        <f t="shared" si="4"/>
        <v>0</v>
      </c>
      <c r="K21" s="13">
        <f t="shared" si="5"/>
        <v>0</v>
      </c>
    </row>
    <row r="22" spans="1:11" s="6" customFormat="1" ht="15.75" customHeight="1" thickBot="1">
      <c r="A22" s="98" t="s">
        <v>28</v>
      </c>
      <c r="B22" s="92" t="s">
        <v>50</v>
      </c>
      <c r="C22" s="148"/>
      <c r="D22" s="94">
        <f t="shared" si="0"/>
        <v>0</v>
      </c>
      <c r="E22" s="95">
        <f t="shared" si="6"/>
        <v>0</v>
      </c>
      <c r="F22" s="135"/>
      <c r="G22" s="94">
        <f t="shared" si="1"/>
        <v>0</v>
      </c>
      <c r="H22" s="95">
        <f t="shared" si="2"/>
        <v>0</v>
      </c>
      <c r="I22" s="145">
        <f t="shared" si="3"/>
        <v>0</v>
      </c>
      <c r="J22" s="94">
        <f t="shared" si="4"/>
        <v>0</v>
      </c>
      <c r="K22" s="97">
        <f t="shared" si="5"/>
        <v>0</v>
      </c>
    </row>
    <row r="23" spans="1:11" s="1" customFormat="1" ht="15.75" customHeight="1">
      <c r="A23" s="4"/>
      <c r="B23" s="40" t="s">
        <v>51</v>
      </c>
      <c r="C23" s="146"/>
      <c r="D23" s="18">
        <f t="shared" si="0"/>
        <v>0</v>
      </c>
      <c r="E23" s="31">
        <f t="shared" si="6"/>
        <v>0</v>
      </c>
      <c r="F23" s="138"/>
      <c r="G23" s="18">
        <f t="shared" si="1"/>
        <v>0</v>
      </c>
      <c r="H23" s="31">
        <f t="shared" si="2"/>
        <v>0</v>
      </c>
      <c r="I23" s="138">
        <f t="shared" si="3"/>
        <v>0</v>
      </c>
      <c r="J23" s="18">
        <f t="shared" si="4"/>
        <v>0</v>
      </c>
      <c r="K23" s="19">
        <f t="shared" si="5"/>
        <v>0</v>
      </c>
    </row>
    <row r="24" spans="1:11" s="1" customFormat="1" ht="14.25" customHeight="1">
      <c r="A24" s="4"/>
      <c r="B24" s="38" t="s">
        <v>52</v>
      </c>
      <c r="C24" s="147"/>
      <c r="D24" s="12">
        <f t="shared" si="0"/>
        <v>0</v>
      </c>
      <c r="E24" s="32">
        <f t="shared" si="6"/>
        <v>0</v>
      </c>
      <c r="F24" s="132"/>
      <c r="G24" s="12">
        <f t="shared" si="1"/>
        <v>0</v>
      </c>
      <c r="H24" s="32">
        <f t="shared" si="2"/>
        <v>0</v>
      </c>
      <c r="I24" s="132">
        <f t="shared" si="3"/>
        <v>0</v>
      </c>
      <c r="J24" s="12">
        <f t="shared" si="4"/>
        <v>0</v>
      </c>
      <c r="K24" s="13">
        <f t="shared" si="5"/>
        <v>0</v>
      </c>
    </row>
    <row r="25" spans="1:11" s="1" customFormat="1" ht="15.75" customHeight="1">
      <c r="A25" s="4"/>
      <c r="B25" s="38" t="s">
        <v>85</v>
      </c>
      <c r="C25" s="147"/>
      <c r="D25" s="12">
        <f t="shared" si="0"/>
        <v>0</v>
      </c>
      <c r="E25" s="32">
        <f t="shared" si="6"/>
        <v>0</v>
      </c>
      <c r="F25" s="132"/>
      <c r="G25" s="12">
        <f t="shared" si="1"/>
        <v>0</v>
      </c>
      <c r="H25" s="32">
        <f t="shared" si="2"/>
        <v>0</v>
      </c>
      <c r="I25" s="132">
        <f t="shared" si="3"/>
        <v>0</v>
      </c>
      <c r="J25" s="12">
        <f t="shared" si="4"/>
        <v>0</v>
      </c>
      <c r="K25" s="13">
        <f t="shared" si="5"/>
        <v>0</v>
      </c>
    </row>
    <row r="26" spans="1:11" s="1" customFormat="1" ht="13.5" thickBot="1">
      <c r="A26" s="4"/>
      <c r="B26" s="38" t="s">
        <v>86</v>
      </c>
      <c r="C26" s="147"/>
      <c r="D26" s="12">
        <f t="shared" si="0"/>
        <v>0</v>
      </c>
      <c r="E26" s="32">
        <f t="shared" si="6"/>
        <v>0</v>
      </c>
      <c r="F26" s="133"/>
      <c r="G26" s="12">
        <f t="shared" si="1"/>
        <v>0</v>
      </c>
      <c r="H26" s="32">
        <f t="shared" si="2"/>
        <v>0</v>
      </c>
      <c r="I26" s="132">
        <f t="shared" si="3"/>
        <v>0</v>
      </c>
      <c r="J26" s="12">
        <f t="shared" si="4"/>
        <v>0</v>
      </c>
      <c r="K26" s="13">
        <f t="shared" si="5"/>
        <v>0</v>
      </c>
    </row>
    <row r="27" spans="1:11" s="6" customFormat="1" ht="14.25" customHeight="1" thickBot="1">
      <c r="A27" s="98" t="s">
        <v>18</v>
      </c>
      <c r="B27" s="92" t="s">
        <v>53</v>
      </c>
      <c r="C27" s="148"/>
      <c r="D27" s="94">
        <f t="shared" si="0"/>
        <v>0</v>
      </c>
      <c r="E27" s="95">
        <f t="shared" si="6"/>
        <v>0</v>
      </c>
      <c r="F27" s="135"/>
      <c r="G27" s="94">
        <f t="shared" si="1"/>
        <v>0</v>
      </c>
      <c r="H27" s="95">
        <f t="shared" si="2"/>
        <v>0</v>
      </c>
      <c r="I27" s="145">
        <f t="shared" si="3"/>
        <v>0</v>
      </c>
      <c r="J27" s="94">
        <f t="shared" si="4"/>
        <v>0</v>
      </c>
      <c r="K27" s="97">
        <f t="shared" si="5"/>
        <v>0</v>
      </c>
    </row>
    <row r="28" spans="1:11" s="1" customFormat="1" ht="15" customHeight="1">
      <c r="A28" s="4"/>
      <c r="B28" s="40" t="s">
        <v>54</v>
      </c>
      <c r="C28" s="146"/>
      <c r="D28" s="18">
        <f t="shared" si="0"/>
        <v>0</v>
      </c>
      <c r="E28" s="31">
        <f t="shared" si="6"/>
        <v>0</v>
      </c>
      <c r="F28" s="138"/>
      <c r="G28" s="18">
        <f t="shared" si="1"/>
        <v>0</v>
      </c>
      <c r="H28" s="31">
        <f t="shared" si="2"/>
        <v>0</v>
      </c>
      <c r="I28" s="138">
        <f t="shared" si="3"/>
        <v>0</v>
      </c>
      <c r="J28" s="18">
        <f t="shared" si="4"/>
        <v>0</v>
      </c>
      <c r="K28" s="19">
        <f t="shared" si="5"/>
        <v>0</v>
      </c>
    </row>
    <row r="29" spans="1:11" s="1" customFormat="1" ht="15" customHeight="1">
      <c r="A29" s="4"/>
      <c r="B29" s="38" t="s">
        <v>55</v>
      </c>
      <c r="C29" s="147"/>
      <c r="D29" s="12">
        <f t="shared" si="0"/>
        <v>0</v>
      </c>
      <c r="E29" s="32">
        <f t="shared" si="6"/>
        <v>0</v>
      </c>
      <c r="F29" s="132"/>
      <c r="G29" s="12">
        <f t="shared" si="1"/>
        <v>0</v>
      </c>
      <c r="H29" s="32">
        <f t="shared" si="2"/>
        <v>0</v>
      </c>
      <c r="I29" s="132">
        <f t="shared" si="3"/>
        <v>0</v>
      </c>
      <c r="J29" s="12">
        <f t="shared" si="4"/>
        <v>0</v>
      </c>
      <c r="K29" s="13">
        <f t="shared" si="5"/>
        <v>0</v>
      </c>
    </row>
    <row r="30" spans="1:11" s="1" customFormat="1" ht="12.75">
      <c r="A30" s="4"/>
      <c r="B30" s="38" t="s">
        <v>56</v>
      </c>
      <c r="C30" s="147"/>
      <c r="D30" s="12">
        <f t="shared" si="0"/>
        <v>0</v>
      </c>
      <c r="E30" s="32">
        <f t="shared" si="6"/>
        <v>0</v>
      </c>
      <c r="F30" s="139"/>
      <c r="G30" s="12">
        <f t="shared" si="1"/>
        <v>0</v>
      </c>
      <c r="H30" s="32">
        <f t="shared" si="2"/>
        <v>0</v>
      </c>
      <c r="I30" s="132">
        <f t="shared" si="3"/>
        <v>0</v>
      </c>
      <c r="J30" s="12">
        <f t="shared" si="4"/>
        <v>0</v>
      </c>
      <c r="K30" s="13">
        <f t="shared" si="5"/>
        <v>0</v>
      </c>
    </row>
    <row r="31" spans="1:11" s="1" customFormat="1" ht="18" customHeight="1" thickBot="1">
      <c r="A31" s="5"/>
      <c r="B31" s="38" t="s">
        <v>57</v>
      </c>
      <c r="C31" s="147"/>
      <c r="D31" s="12">
        <f t="shared" si="0"/>
        <v>0</v>
      </c>
      <c r="E31" s="32">
        <f t="shared" si="6"/>
        <v>0</v>
      </c>
      <c r="F31" s="136"/>
      <c r="G31" s="12">
        <f t="shared" si="1"/>
        <v>0</v>
      </c>
      <c r="H31" s="32">
        <f t="shared" si="2"/>
        <v>0</v>
      </c>
      <c r="I31" s="132">
        <f t="shared" si="3"/>
        <v>0</v>
      </c>
      <c r="J31" s="12">
        <f t="shared" si="4"/>
        <v>0</v>
      </c>
      <c r="K31" s="13">
        <f t="shared" si="5"/>
        <v>0</v>
      </c>
    </row>
    <row r="32" spans="1:11" s="1" customFormat="1" ht="16.5" customHeight="1" thickBot="1">
      <c r="A32" s="99" t="s">
        <v>75</v>
      </c>
      <c r="B32" s="92" t="s">
        <v>61</v>
      </c>
      <c r="C32" s="148"/>
      <c r="D32" s="94">
        <f t="shared" si="0"/>
        <v>0</v>
      </c>
      <c r="E32" s="95">
        <f t="shared" si="6"/>
        <v>0</v>
      </c>
      <c r="F32" s="135"/>
      <c r="G32" s="94">
        <f t="shared" si="1"/>
        <v>0</v>
      </c>
      <c r="H32" s="95">
        <f t="shared" si="2"/>
        <v>0</v>
      </c>
      <c r="I32" s="145">
        <f t="shared" si="3"/>
        <v>0</v>
      </c>
      <c r="J32" s="94">
        <f t="shared" si="4"/>
        <v>0</v>
      </c>
      <c r="K32" s="97">
        <f t="shared" si="5"/>
        <v>0</v>
      </c>
    </row>
    <row r="33" spans="1:11" s="1" customFormat="1" ht="26.25" thickBot="1">
      <c r="A33" s="99" t="s">
        <v>76</v>
      </c>
      <c r="B33" s="92" t="s">
        <v>62</v>
      </c>
      <c r="C33" s="148"/>
      <c r="D33" s="94">
        <f t="shared" si="0"/>
        <v>0</v>
      </c>
      <c r="E33" s="95">
        <f t="shared" si="6"/>
        <v>0</v>
      </c>
      <c r="F33" s="135"/>
      <c r="G33" s="94">
        <f t="shared" si="1"/>
        <v>0</v>
      </c>
      <c r="H33" s="95">
        <f t="shared" si="2"/>
        <v>0</v>
      </c>
      <c r="I33" s="145">
        <f t="shared" si="3"/>
        <v>0</v>
      </c>
      <c r="J33" s="94">
        <f t="shared" si="4"/>
        <v>0</v>
      </c>
      <c r="K33" s="97">
        <f t="shared" si="5"/>
        <v>0</v>
      </c>
    </row>
    <row r="34" spans="1:11" s="6" customFormat="1" ht="21" customHeight="1" thickBot="1">
      <c r="A34" s="98" t="s">
        <v>19</v>
      </c>
      <c r="B34" s="92" t="s">
        <v>58</v>
      </c>
      <c r="C34" s="148"/>
      <c r="D34" s="94">
        <f t="shared" si="0"/>
        <v>0</v>
      </c>
      <c r="E34" s="95">
        <f t="shared" si="6"/>
        <v>0</v>
      </c>
      <c r="F34" s="135"/>
      <c r="G34" s="94">
        <f t="shared" si="1"/>
        <v>0</v>
      </c>
      <c r="H34" s="95">
        <f t="shared" si="2"/>
        <v>0</v>
      </c>
      <c r="I34" s="145">
        <f t="shared" si="3"/>
        <v>0</v>
      </c>
      <c r="J34" s="94">
        <f t="shared" si="4"/>
        <v>0</v>
      </c>
      <c r="K34" s="97">
        <f t="shared" si="5"/>
        <v>0</v>
      </c>
    </row>
    <row r="35" spans="1:11" s="1" customFormat="1" ht="12.75">
      <c r="A35" s="4"/>
      <c r="B35" s="40" t="s">
        <v>59</v>
      </c>
      <c r="C35" s="146"/>
      <c r="D35" s="25">
        <f t="shared" si="0"/>
        <v>0</v>
      </c>
      <c r="E35" s="36">
        <f t="shared" si="6"/>
        <v>0</v>
      </c>
      <c r="F35" s="138"/>
      <c r="G35" s="25">
        <f t="shared" si="1"/>
        <v>0</v>
      </c>
      <c r="H35" s="36">
        <f t="shared" si="2"/>
        <v>0</v>
      </c>
      <c r="I35" s="138">
        <f t="shared" si="3"/>
        <v>0</v>
      </c>
      <c r="J35" s="25">
        <f t="shared" si="4"/>
        <v>0</v>
      </c>
      <c r="K35" s="26">
        <f t="shared" si="5"/>
        <v>0</v>
      </c>
    </row>
    <row r="36" spans="1:11" s="1" customFormat="1" ht="13.5" customHeight="1">
      <c r="A36" s="4"/>
      <c r="B36" s="43" t="s">
        <v>31</v>
      </c>
      <c r="C36" s="147"/>
      <c r="D36" s="27">
        <f t="shared" si="0"/>
        <v>0</v>
      </c>
      <c r="E36" s="37">
        <f t="shared" si="6"/>
        <v>0</v>
      </c>
      <c r="F36" s="132"/>
      <c r="G36" s="27">
        <f t="shared" si="1"/>
        <v>0</v>
      </c>
      <c r="H36" s="37">
        <f t="shared" si="2"/>
        <v>0</v>
      </c>
      <c r="I36" s="132">
        <f t="shared" si="3"/>
        <v>0</v>
      </c>
      <c r="J36" s="27">
        <f t="shared" si="4"/>
        <v>0</v>
      </c>
      <c r="K36" s="28">
        <f t="shared" si="5"/>
        <v>0</v>
      </c>
    </row>
    <row r="37" spans="1:11" s="1" customFormat="1" ht="12" customHeight="1" thickBot="1">
      <c r="A37" s="16"/>
      <c r="B37" s="38" t="s">
        <v>84</v>
      </c>
      <c r="C37" s="147"/>
      <c r="D37" s="27">
        <f aca="true" t="shared" si="7" ref="D37:D58">C37*1000/$D$2</f>
        <v>0</v>
      </c>
      <c r="E37" s="37">
        <f t="shared" si="6"/>
        <v>0</v>
      </c>
      <c r="F37" s="140"/>
      <c r="G37" s="27">
        <f aca="true" t="shared" si="8" ref="G37:G58">F37*1000/$G$2</f>
        <v>0</v>
      </c>
      <c r="H37" s="37">
        <f aca="true" t="shared" si="9" ref="H37:H57">F37*100/F$58</f>
        <v>0</v>
      </c>
      <c r="I37" s="132">
        <f aca="true" t="shared" si="10" ref="I37:I57">SUM(C37,F37)</f>
        <v>0</v>
      </c>
      <c r="J37" s="27">
        <f aca="true" t="shared" si="11" ref="J37:J58">I37*1000/$J$2</f>
        <v>0</v>
      </c>
      <c r="K37" s="28">
        <f aca="true" t="shared" si="12" ref="K37:K57">I37*100/I$58</f>
        <v>0</v>
      </c>
    </row>
    <row r="38" spans="1:11" s="6" customFormat="1" ht="21" customHeight="1" thickBot="1">
      <c r="A38" s="98" t="s">
        <v>20</v>
      </c>
      <c r="B38" s="92" t="s">
        <v>32</v>
      </c>
      <c r="C38" s="148"/>
      <c r="D38" s="94">
        <f t="shared" si="7"/>
        <v>0</v>
      </c>
      <c r="E38" s="95">
        <f t="shared" si="6"/>
        <v>0</v>
      </c>
      <c r="F38" s="135"/>
      <c r="G38" s="94">
        <f t="shared" si="8"/>
        <v>0</v>
      </c>
      <c r="H38" s="95">
        <f t="shared" si="9"/>
        <v>0</v>
      </c>
      <c r="I38" s="145">
        <f t="shared" si="10"/>
        <v>0</v>
      </c>
      <c r="J38" s="94">
        <f t="shared" si="11"/>
        <v>0</v>
      </c>
      <c r="K38" s="113">
        <f t="shared" si="12"/>
        <v>0</v>
      </c>
    </row>
    <row r="39" spans="1:11" s="1" customFormat="1" ht="12.75">
      <c r="A39" s="4"/>
      <c r="B39" s="40" t="s">
        <v>60</v>
      </c>
      <c r="C39" s="146"/>
      <c r="D39" s="18">
        <f t="shared" si="7"/>
        <v>0</v>
      </c>
      <c r="E39" s="31">
        <f t="shared" si="6"/>
        <v>0</v>
      </c>
      <c r="F39" s="138"/>
      <c r="G39" s="18">
        <f t="shared" si="8"/>
        <v>0</v>
      </c>
      <c r="H39" s="31">
        <f t="shared" si="9"/>
        <v>0</v>
      </c>
      <c r="I39" s="138">
        <f t="shared" si="10"/>
        <v>0</v>
      </c>
      <c r="J39" s="18">
        <f t="shared" si="11"/>
        <v>0</v>
      </c>
      <c r="K39" s="19">
        <f t="shared" si="12"/>
        <v>0</v>
      </c>
    </row>
    <row r="40" spans="1:11" s="1" customFormat="1" ht="12.75">
      <c r="A40" s="4"/>
      <c r="B40" s="38" t="s">
        <v>34</v>
      </c>
      <c r="C40" s="147"/>
      <c r="D40" s="12">
        <f t="shared" si="7"/>
        <v>0</v>
      </c>
      <c r="E40" s="32">
        <f t="shared" si="6"/>
        <v>0</v>
      </c>
      <c r="F40" s="132"/>
      <c r="G40" s="12">
        <f t="shared" si="8"/>
        <v>0</v>
      </c>
      <c r="H40" s="32">
        <f t="shared" si="9"/>
        <v>0</v>
      </c>
      <c r="I40" s="132">
        <f t="shared" si="10"/>
        <v>0</v>
      </c>
      <c r="J40" s="12">
        <f t="shared" si="11"/>
        <v>0</v>
      </c>
      <c r="K40" s="13">
        <f t="shared" si="12"/>
        <v>0</v>
      </c>
    </row>
    <row r="41" spans="1:11" s="1" customFormat="1" ht="12.75">
      <c r="A41" s="4"/>
      <c r="B41" s="38" t="s">
        <v>25</v>
      </c>
      <c r="C41" s="147"/>
      <c r="D41" s="12">
        <f t="shared" si="7"/>
        <v>0</v>
      </c>
      <c r="E41" s="32">
        <f t="shared" si="6"/>
        <v>0</v>
      </c>
      <c r="F41" s="132"/>
      <c r="G41" s="12">
        <f t="shared" si="8"/>
        <v>0</v>
      </c>
      <c r="H41" s="32">
        <f t="shared" si="9"/>
        <v>0</v>
      </c>
      <c r="I41" s="132">
        <f t="shared" si="10"/>
        <v>0</v>
      </c>
      <c r="J41" s="12">
        <f t="shared" si="11"/>
        <v>0</v>
      </c>
      <c r="K41" s="13">
        <f t="shared" si="12"/>
        <v>0</v>
      </c>
    </row>
    <row r="42" spans="1:11" s="1" customFormat="1" ht="13.5" thickBot="1">
      <c r="A42" s="5"/>
      <c r="B42" s="38" t="s">
        <v>35</v>
      </c>
      <c r="C42" s="147"/>
      <c r="D42" s="12">
        <f t="shared" si="7"/>
        <v>0</v>
      </c>
      <c r="E42" s="32">
        <f t="shared" si="6"/>
        <v>0</v>
      </c>
      <c r="F42" s="133"/>
      <c r="G42" s="12">
        <f t="shared" si="8"/>
        <v>0</v>
      </c>
      <c r="H42" s="32">
        <f t="shared" si="9"/>
        <v>0</v>
      </c>
      <c r="I42" s="132">
        <f t="shared" si="10"/>
        <v>0</v>
      </c>
      <c r="J42" s="12">
        <f t="shared" si="11"/>
        <v>0</v>
      </c>
      <c r="K42" s="13">
        <f t="shared" si="12"/>
        <v>0</v>
      </c>
    </row>
    <row r="43" spans="1:11" s="6" customFormat="1" ht="23.25" customHeight="1" thickBot="1">
      <c r="A43" s="98" t="s">
        <v>21</v>
      </c>
      <c r="B43" s="92" t="s">
        <v>64</v>
      </c>
      <c r="C43" s="148"/>
      <c r="D43" s="94">
        <f t="shared" si="7"/>
        <v>0</v>
      </c>
      <c r="E43" s="95">
        <f t="shared" si="6"/>
        <v>0</v>
      </c>
      <c r="F43" s="135"/>
      <c r="G43" s="94">
        <f t="shared" si="8"/>
        <v>0</v>
      </c>
      <c r="H43" s="95">
        <f t="shared" si="9"/>
        <v>0</v>
      </c>
      <c r="I43" s="145">
        <f t="shared" si="10"/>
        <v>0</v>
      </c>
      <c r="J43" s="94">
        <f t="shared" si="11"/>
        <v>0</v>
      </c>
      <c r="K43" s="113">
        <f t="shared" si="12"/>
        <v>0</v>
      </c>
    </row>
    <row r="44" spans="1:11" s="1" customFormat="1" ht="33.75" customHeight="1" thickBot="1">
      <c r="A44" s="9"/>
      <c r="B44" s="161" t="s">
        <v>81</v>
      </c>
      <c r="C44" s="146"/>
      <c r="D44" s="18">
        <f t="shared" si="7"/>
        <v>0</v>
      </c>
      <c r="E44" s="31">
        <f t="shared" si="6"/>
        <v>0</v>
      </c>
      <c r="F44" s="143"/>
      <c r="G44" s="18">
        <f t="shared" si="8"/>
        <v>0</v>
      </c>
      <c r="H44" s="31">
        <f t="shared" si="9"/>
        <v>0</v>
      </c>
      <c r="I44" s="138">
        <f t="shared" si="10"/>
        <v>0</v>
      </c>
      <c r="J44" s="18">
        <f t="shared" si="11"/>
        <v>0</v>
      </c>
      <c r="K44" s="19">
        <f t="shared" si="12"/>
        <v>0</v>
      </c>
    </row>
    <row r="45" spans="1:11" s="1" customFormat="1" ht="16.5" customHeight="1" thickBot="1">
      <c r="A45" s="4"/>
      <c r="B45" s="159" t="s">
        <v>79</v>
      </c>
      <c r="C45" s="147"/>
      <c r="D45" s="12">
        <f t="shared" si="7"/>
        <v>0</v>
      </c>
      <c r="E45" s="32">
        <f t="shared" si="6"/>
        <v>0</v>
      </c>
      <c r="F45" s="141"/>
      <c r="G45" s="12">
        <f t="shared" si="8"/>
        <v>0</v>
      </c>
      <c r="H45" s="32">
        <f t="shared" si="9"/>
        <v>0</v>
      </c>
      <c r="I45" s="132">
        <f t="shared" si="10"/>
        <v>0</v>
      </c>
      <c r="J45" s="12">
        <f t="shared" si="11"/>
        <v>0</v>
      </c>
      <c r="K45" s="13">
        <f t="shared" si="12"/>
        <v>0</v>
      </c>
    </row>
    <row r="46" spans="1:11" s="1" customFormat="1" ht="18" customHeight="1" thickBot="1">
      <c r="A46" s="99" t="s">
        <v>77</v>
      </c>
      <c r="B46" s="92" t="s">
        <v>63</v>
      </c>
      <c r="C46" s="148"/>
      <c r="D46" s="94">
        <f t="shared" si="7"/>
        <v>0</v>
      </c>
      <c r="E46" s="95">
        <f t="shared" si="6"/>
        <v>0</v>
      </c>
      <c r="F46" s="135"/>
      <c r="G46" s="94">
        <f t="shared" si="8"/>
        <v>0</v>
      </c>
      <c r="H46" s="95">
        <f t="shared" si="9"/>
        <v>0</v>
      </c>
      <c r="I46" s="145">
        <f t="shared" si="10"/>
        <v>0</v>
      </c>
      <c r="J46" s="94">
        <f t="shared" si="11"/>
        <v>0</v>
      </c>
      <c r="K46" s="97">
        <f t="shared" si="12"/>
        <v>0</v>
      </c>
    </row>
    <row r="47" spans="1:11" s="6" customFormat="1" ht="21" customHeight="1" thickBot="1">
      <c r="A47" s="99" t="s">
        <v>29</v>
      </c>
      <c r="B47" s="92" t="s">
        <v>65</v>
      </c>
      <c r="C47" s="148"/>
      <c r="D47" s="94">
        <f t="shared" si="7"/>
        <v>0</v>
      </c>
      <c r="E47" s="95">
        <f t="shared" si="6"/>
        <v>0</v>
      </c>
      <c r="F47" s="135">
        <f>93+82+1</f>
        <v>176</v>
      </c>
      <c r="G47" s="94">
        <f t="shared" si="8"/>
        <v>0.8505990440426653</v>
      </c>
      <c r="H47" s="95">
        <f t="shared" si="9"/>
        <v>7.451312447078747</v>
      </c>
      <c r="I47" s="145">
        <f t="shared" si="10"/>
        <v>176</v>
      </c>
      <c r="J47" s="94">
        <f t="shared" si="11"/>
        <v>0.7223980331071735</v>
      </c>
      <c r="K47" s="97">
        <f t="shared" si="12"/>
        <v>7.451312447078747</v>
      </c>
    </row>
    <row r="48" spans="1:11" s="6" customFormat="1" ht="19.5" customHeight="1" thickBot="1">
      <c r="A48" s="98" t="s">
        <v>30</v>
      </c>
      <c r="B48" s="92" t="s">
        <v>66</v>
      </c>
      <c r="C48" s="148"/>
      <c r="D48" s="94">
        <f t="shared" si="7"/>
        <v>0</v>
      </c>
      <c r="E48" s="95">
        <f t="shared" si="6"/>
        <v>0</v>
      </c>
      <c r="F48" s="135"/>
      <c r="G48" s="94">
        <f t="shared" si="8"/>
        <v>0</v>
      </c>
      <c r="H48" s="95">
        <f t="shared" si="9"/>
        <v>0</v>
      </c>
      <c r="I48" s="145">
        <f t="shared" si="10"/>
        <v>0</v>
      </c>
      <c r="J48" s="94">
        <f t="shared" si="11"/>
        <v>0</v>
      </c>
      <c r="K48" s="97">
        <f t="shared" si="12"/>
        <v>0</v>
      </c>
    </row>
    <row r="49" spans="1:11" s="1" customFormat="1" ht="17.25" customHeight="1">
      <c r="A49" s="4"/>
      <c r="B49" s="40" t="s">
        <v>67</v>
      </c>
      <c r="C49" s="146"/>
      <c r="D49" s="18">
        <f t="shared" si="7"/>
        <v>0</v>
      </c>
      <c r="E49" s="31">
        <f t="shared" si="6"/>
        <v>0</v>
      </c>
      <c r="F49" s="138"/>
      <c r="G49" s="18">
        <f t="shared" si="8"/>
        <v>0</v>
      </c>
      <c r="H49" s="31">
        <f t="shared" si="9"/>
        <v>0</v>
      </c>
      <c r="I49" s="138">
        <f t="shared" si="10"/>
        <v>0</v>
      </c>
      <c r="J49" s="18">
        <f t="shared" si="11"/>
        <v>0</v>
      </c>
      <c r="K49" s="19">
        <f t="shared" si="12"/>
        <v>0</v>
      </c>
    </row>
    <row r="50" spans="1:11" s="1" customFormat="1" ht="12.75">
      <c r="A50" s="4"/>
      <c r="B50" s="38" t="s">
        <v>71</v>
      </c>
      <c r="C50" s="147"/>
      <c r="D50" s="12">
        <f t="shared" si="7"/>
        <v>0</v>
      </c>
      <c r="E50" s="32">
        <f t="shared" si="6"/>
        <v>0</v>
      </c>
      <c r="F50" s="132"/>
      <c r="G50" s="12">
        <f t="shared" si="8"/>
        <v>0</v>
      </c>
      <c r="H50" s="32">
        <f t="shared" si="9"/>
        <v>0</v>
      </c>
      <c r="I50" s="132">
        <f t="shared" si="10"/>
        <v>0</v>
      </c>
      <c r="J50" s="12">
        <f t="shared" si="11"/>
        <v>0</v>
      </c>
      <c r="K50" s="13">
        <f t="shared" si="12"/>
        <v>0</v>
      </c>
    </row>
    <row r="51" spans="1:11" s="1" customFormat="1" ht="15.75" customHeight="1">
      <c r="A51" s="4"/>
      <c r="B51" s="38" t="s">
        <v>68</v>
      </c>
      <c r="C51" s="147"/>
      <c r="D51" s="12">
        <f t="shared" si="7"/>
        <v>0</v>
      </c>
      <c r="E51" s="32">
        <f t="shared" si="6"/>
        <v>0</v>
      </c>
      <c r="F51" s="132"/>
      <c r="G51" s="12">
        <f t="shared" si="8"/>
        <v>0</v>
      </c>
      <c r="H51" s="32">
        <f t="shared" si="9"/>
        <v>0</v>
      </c>
      <c r="I51" s="132">
        <f t="shared" si="10"/>
        <v>0</v>
      </c>
      <c r="J51" s="12">
        <f t="shared" si="11"/>
        <v>0</v>
      </c>
      <c r="K51" s="13">
        <f t="shared" si="12"/>
        <v>0</v>
      </c>
    </row>
    <row r="52" spans="1:11" s="1" customFormat="1" ht="12.75">
      <c r="A52" s="4"/>
      <c r="B52" s="38" t="s">
        <v>72</v>
      </c>
      <c r="C52" s="147"/>
      <c r="D52" s="12">
        <f t="shared" si="7"/>
        <v>0</v>
      </c>
      <c r="E52" s="32">
        <f t="shared" si="6"/>
        <v>0</v>
      </c>
      <c r="F52" s="132"/>
      <c r="G52" s="12">
        <f t="shared" si="8"/>
        <v>0</v>
      </c>
      <c r="H52" s="32">
        <f t="shared" si="9"/>
        <v>0</v>
      </c>
      <c r="I52" s="132">
        <f t="shared" si="10"/>
        <v>0</v>
      </c>
      <c r="J52" s="12">
        <f t="shared" si="11"/>
        <v>0</v>
      </c>
      <c r="K52" s="13">
        <f t="shared" si="12"/>
        <v>0</v>
      </c>
    </row>
    <row r="53" spans="1:11" s="1" customFormat="1" ht="16.5" customHeight="1">
      <c r="A53" s="4"/>
      <c r="B53" s="38" t="s">
        <v>69</v>
      </c>
      <c r="C53" s="147"/>
      <c r="D53" s="12">
        <f t="shared" si="7"/>
        <v>0</v>
      </c>
      <c r="E53" s="32">
        <f t="shared" si="6"/>
        <v>0</v>
      </c>
      <c r="F53" s="132"/>
      <c r="G53" s="12">
        <f t="shared" si="8"/>
        <v>0</v>
      </c>
      <c r="H53" s="32">
        <f t="shared" si="9"/>
        <v>0</v>
      </c>
      <c r="I53" s="132">
        <f t="shared" si="10"/>
        <v>0</v>
      </c>
      <c r="J53" s="12">
        <f t="shared" si="11"/>
        <v>0</v>
      </c>
      <c r="K53" s="13">
        <f t="shared" si="12"/>
        <v>0</v>
      </c>
    </row>
    <row r="54" spans="1:11" s="1" customFormat="1" ht="12" customHeight="1">
      <c r="A54" s="4"/>
      <c r="B54" s="38" t="s">
        <v>73</v>
      </c>
      <c r="C54" s="147"/>
      <c r="D54" s="12">
        <f t="shared" si="7"/>
        <v>0</v>
      </c>
      <c r="E54" s="32">
        <f t="shared" si="6"/>
        <v>0</v>
      </c>
      <c r="F54" s="132"/>
      <c r="G54" s="12">
        <f t="shared" si="8"/>
        <v>0</v>
      </c>
      <c r="H54" s="32">
        <f t="shared" si="9"/>
        <v>0</v>
      </c>
      <c r="I54" s="132">
        <f t="shared" si="10"/>
        <v>0</v>
      </c>
      <c r="J54" s="12">
        <f t="shared" si="11"/>
        <v>0</v>
      </c>
      <c r="K54" s="13">
        <f t="shared" si="12"/>
        <v>0</v>
      </c>
    </row>
    <row r="55" spans="1:11" s="1" customFormat="1" ht="16.5" customHeight="1">
      <c r="A55" s="4"/>
      <c r="B55" s="38" t="s">
        <v>70</v>
      </c>
      <c r="C55" s="147"/>
      <c r="D55" s="12">
        <f t="shared" si="7"/>
        <v>0</v>
      </c>
      <c r="E55" s="32">
        <f t="shared" si="6"/>
        <v>0</v>
      </c>
      <c r="F55" s="132"/>
      <c r="G55" s="12">
        <f t="shared" si="8"/>
        <v>0</v>
      </c>
      <c r="H55" s="32">
        <f t="shared" si="9"/>
        <v>0</v>
      </c>
      <c r="I55" s="132">
        <f t="shared" si="10"/>
        <v>0</v>
      </c>
      <c r="J55" s="12">
        <f t="shared" si="11"/>
        <v>0</v>
      </c>
      <c r="K55" s="13">
        <f t="shared" si="12"/>
        <v>0</v>
      </c>
    </row>
    <row r="56" spans="1:11" s="1" customFormat="1" ht="12.75">
      <c r="A56" s="4"/>
      <c r="B56" s="38" t="s">
        <v>74</v>
      </c>
      <c r="C56" s="147"/>
      <c r="D56" s="12">
        <f t="shared" si="7"/>
        <v>0</v>
      </c>
      <c r="E56" s="32">
        <f t="shared" si="6"/>
        <v>0</v>
      </c>
      <c r="F56" s="132"/>
      <c r="G56" s="12">
        <f t="shared" si="8"/>
        <v>0</v>
      </c>
      <c r="H56" s="32">
        <f t="shared" si="9"/>
        <v>0</v>
      </c>
      <c r="I56" s="132">
        <f t="shared" si="10"/>
        <v>0</v>
      </c>
      <c r="J56" s="12">
        <f t="shared" si="11"/>
        <v>0</v>
      </c>
      <c r="K56" s="13">
        <f t="shared" si="12"/>
        <v>0</v>
      </c>
    </row>
    <row r="57" spans="1:11" s="1" customFormat="1" ht="13.5" thickBot="1">
      <c r="A57" s="4"/>
      <c r="B57" s="38" t="s">
        <v>33</v>
      </c>
      <c r="C57" s="152"/>
      <c r="D57" s="12">
        <f t="shared" si="7"/>
        <v>0</v>
      </c>
      <c r="E57" s="32">
        <f t="shared" si="6"/>
        <v>0</v>
      </c>
      <c r="F57" s="139"/>
      <c r="G57" s="12">
        <f t="shared" si="8"/>
        <v>0</v>
      </c>
      <c r="H57" s="32">
        <f t="shared" si="9"/>
        <v>0</v>
      </c>
      <c r="I57" s="132">
        <f t="shared" si="10"/>
        <v>0</v>
      </c>
      <c r="J57" s="12">
        <f t="shared" si="11"/>
        <v>0</v>
      </c>
      <c r="K57" s="13">
        <f t="shared" si="12"/>
        <v>0</v>
      </c>
    </row>
    <row r="58" spans="1:11" s="6" customFormat="1" ht="18.75" customHeight="1" thickBot="1">
      <c r="A58" s="82"/>
      <c r="B58" s="83" t="s">
        <v>22</v>
      </c>
      <c r="C58" s="148">
        <f>C48+C47+C46+C43+C38+C34+C33+C32+C27+C22+C18+C17+C16+C14+C13+C11+C10+C8+C5</f>
        <v>0</v>
      </c>
      <c r="D58" s="215">
        <f t="shared" si="7"/>
        <v>0</v>
      </c>
      <c r="E58" s="33"/>
      <c r="F58" s="145">
        <f>F48+F47+F46+F43+F38+F34+F33+F32+F27+F22+F18+F17+F16+F14+F13+F11+F10+F8+F5</f>
        <v>2362</v>
      </c>
      <c r="G58" s="216">
        <f t="shared" si="8"/>
        <v>11.415425806981679</v>
      </c>
      <c r="H58" s="33"/>
      <c r="I58" s="145">
        <f>I48+I47+I46+I43+I38+I34+I33+I32+I27+I22+I18+I17+I16+I14+I13+I11+I10+I8+I5</f>
        <v>2362</v>
      </c>
      <c r="J58" s="216">
        <f t="shared" si="11"/>
        <v>9.694909967040589</v>
      </c>
      <c r="K58" s="11"/>
    </row>
    <row r="59" spans="1:11" s="6" customFormat="1" ht="22.5" customHeight="1">
      <c r="A59" s="15"/>
      <c r="B59" s="235"/>
      <c r="C59" s="235"/>
      <c r="D59" s="235"/>
      <c r="E59" s="235"/>
      <c r="F59" s="235"/>
      <c r="G59" s="235"/>
      <c r="H59" s="235"/>
      <c r="I59" s="236"/>
      <c r="J59" s="236"/>
      <c r="K59" s="236"/>
    </row>
  </sheetData>
  <sheetProtection/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75" zoomScaleNormal="75" zoomScalePageLayoutView="0" workbookViewId="0" topLeftCell="A1">
      <pane xSplit="1" ySplit="4" topLeftCell="B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I25" sqref="I25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37" t="s">
        <v>93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20.25" customHeight="1" thickBot="1">
      <c r="A2" s="21"/>
      <c r="B2" s="22"/>
      <c r="C2" s="2"/>
      <c r="D2" s="229">
        <v>36720</v>
      </c>
      <c r="E2" s="23"/>
      <c r="F2" s="23"/>
      <c r="G2" s="229">
        <f>J2-D2</f>
        <v>206913</v>
      </c>
      <c r="H2" s="2"/>
      <c r="I2" s="2"/>
      <c r="J2" s="229">
        <v>243633</v>
      </c>
      <c r="K2" s="2"/>
    </row>
    <row r="3" spans="1:11" ht="12.75">
      <c r="A3" s="239" t="s">
        <v>24</v>
      </c>
      <c r="B3" s="241" t="s">
        <v>5</v>
      </c>
      <c r="C3" s="130" t="s">
        <v>1</v>
      </c>
      <c r="D3" s="129"/>
      <c r="E3" s="129"/>
      <c r="F3" s="130" t="s">
        <v>2</v>
      </c>
      <c r="G3" s="129"/>
      <c r="H3" s="129"/>
      <c r="I3" s="130" t="s">
        <v>3</v>
      </c>
      <c r="J3" s="129"/>
      <c r="K3" s="131"/>
    </row>
    <row r="4" spans="1:11" ht="33.75" customHeight="1" thickBot="1">
      <c r="A4" s="250"/>
      <c r="B4" s="242"/>
      <c r="C4" s="126" t="s">
        <v>6</v>
      </c>
      <c r="D4" s="124" t="s">
        <v>7</v>
      </c>
      <c r="E4" s="125" t="s">
        <v>8</v>
      </c>
      <c r="F4" s="126" t="s">
        <v>6</v>
      </c>
      <c r="G4" s="124" t="s">
        <v>7</v>
      </c>
      <c r="H4" s="125" t="s">
        <v>8</v>
      </c>
      <c r="I4" s="126" t="s">
        <v>6</v>
      </c>
      <c r="J4" s="124" t="s">
        <v>7</v>
      </c>
      <c r="K4" s="127" t="s">
        <v>8</v>
      </c>
    </row>
    <row r="5" spans="1:11" ht="16.5" customHeight="1" thickBot="1">
      <c r="A5" s="90" t="s">
        <v>9</v>
      </c>
      <c r="B5" s="154" t="s">
        <v>26</v>
      </c>
      <c r="C5" s="145"/>
      <c r="D5" s="94">
        <f aca="true" t="shared" si="0" ref="D5:D36">C5*1000/$D$2</f>
        <v>0</v>
      </c>
      <c r="E5" s="95" t="e">
        <f aca="true" t="shared" si="1" ref="E5:E36">C5*100/C$58</f>
        <v>#DIV/0!</v>
      </c>
      <c r="F5" s="135"/>
      <c r="G5" s="94">
        <f aca="true" t="shared" si="2" ref="G5:G36">F5*1000/$G$2</f>
        <v>0</v>
      </c>
      <c r="H5" s="95">
        <f aca="true" t="shared" si="3" ref="H5:H36">F5*100/F$58</f>
        <v>0</v>
      </c>
      <c r="I5" s="145">
        <f aca="true" t="shared" si="4" ref="I5:I36">SUM(C5,F5)</f>
        <v>0</v>
      </c>
      <c r="J5" s="94">
        <f aca="true" t="shared" si="5" ref="J5:J36">I5*1000/$J$2</f>
        <v>0</v>
      </c>
      <c r="K5" s="97">
        <f aca="true" t="shared" si="6" ref="K5:K36">I5*100/I$58</f>
        <v>0</v>
      </c>
    </row>
    <row r="6" spans="1:11" s="1" customFormat="1" ht="12.75" customHeight="1">
      <c r="A6" s="4"/>
      <c r="B6" s="40" t="s">
        <v>36</v>
      </c>
      <c r="C6" s="146"/>
      <c r="D6" s="18">
        <f t="shared" si="0"/>
        <v>0</v>
      </c>
      <c r="E6" s="31" t="e">
        <f t="shared" si="1"/>
        <v>#DIV/0!</v>
      </c>
      <c r="F6" s="138"/>
      <c r="G6" s="18">
        <f t="shared" si="2"/>
        <v>0</v>
      </c>
      <c r="H6" s="31">
        <f t="shared" si="3"/>
        <v>0</v>
      </c>
      <c r="I6" s="138">
        <f t="shared" si="4"/>
        <v>0</v>
      </c>
      <c r="J6" s="18">
        <f t="shared" si="5"/>
        <v>0</v>
      </c>
      <c r="K6" s="19">
        <f t="shared" si="6"/>
        <v>0</v>
      </c>
    </row>
    <row r="7" spans="1:11" s="1" customFormat="1" ht="14.25" customHeight="1" thickBot="1">
      <c r="A7" s="4"/>
      <c r="B7" s="39" t="s">
        <v>37</v>
      </c>
      <c r="C7" s="147"/>
      <c r="D7" s="12">
        <f t="shared" si="0"/>
        <v>0</v>
      </c>
      <c r="E7" s="32" t="e">
        <f t="shared" si="1"/>
        <v>#DIV/0!</v>
      </c>
      <c r="F7" s="133"/>
      <c r="G7" s="14">
        <f t="shared" si="2"/>
        <v>0</v>
      </c>
      <c r="H7" s="35">
        <f t="shared" si="3"/>
        <v>0</v>
      </c>
      <c r="I7" s="140">
        <f t="shared" si="4"/>
        <v>0</v>
      </c>
      <c r="J7" s="14">
        <f t="shared" si="5"/>
        <v>0</v>
      </c>
      <c r="K7" s="13">
        <f t="shared" si="6"/>
        <v>0</v>
      </c>
    </row>
    <row r="8" spans="1:11" ht="13.5" customHeight="1" thickBot="1">
      <c r="A8" s="90" t="s">
        <v>10</v>
      </c>
      <c r="B8" s="100" t="s">
        <v>38</v>
      </c>
      <c r="C8" s="148"/>
      <c r="D8" s="94">
        <f t="shared" si="0"/>
        <v>0</v>
      </c>
      <c r="E8" s="95" t="e">
        <f t="shared" si="1"/>
        <v>#DIV/0!</v>
      </c>
      <c r="F8" s="135"/>
      <c r="G8" s="94">
        <f t="shared" si="2"/>
        <v>0</v>
      </c>
      <c r="H8" s="95">
        <f t="shared" si="3"/>
        <v>0</v>
      </c>
      <c r="I8" s="145">
        <f t="shared" si="4"/>
        <v>0</v>
      </c>
      <c r="J8" s="94">
        <f t="shared" si="5"/>
        <v>0</v>
      </c>
      <c r="K8" s="97">
        <f t="shared" si="6"/>
        <v>0</v>
      </c>
    </row>
    <row r="9" spans="1:11" s="1" customFormat="1" ht="15" customHeight="1" thickBot="1">
      <c r="A9" s="16"/>
      <c r="B9" s="40" t="s">
        <v>39</v>
      </c>
      <c r="C9" s="146"/>
      <c r="D9" s="18">
        <f t="shared" si="0"/>
        <v>0</v>
      </c>
      <c r="E9" s="31" t="e">
        <f t="shared" si="1"/>
        <v>#DIV/0!</v>
      </c>
      <c r="F9" s="133"/>
      <c r="G9" s="18">
        <f t="shared" si="2"/>
        <v>0</v>
      </c>
      <c r="H9" s="31">
        <f t="shared" si="3"/>
        <v>0</v>
      </c>
      <c r="I9" s="138">
        <f t="shared" si="4"/>
        <v>0</v>
      </c>
      <c r="J9" s="18">
        <f t="shared" si="5"/>
        <v>0</v>
      </c>
      <c r="K9" s="19">
        <f t="shared" si="6"/>
        <v>0</v>
      </c>
    </row>
    <row r="10" spans="1:11" s="6" customFormat="1" ht="15.75" customHeight="1" thickBot="1">
      <c r="A10" s="91" t="s">
        <v>11</v>
      </c>
      <c r="B10" s="92" t="s">
        <v>40</v>
      </c>
      <c r="C10" s="148"/>
      <c r="D10" s="94">
        <f t="shared" si="0"/>
        <v>0</v>
      </c>
      <c r="E10" s="95" t="e">
        <f t="shared" si="1"/>
        <v>#DIV/0!</v>
      </c>
      <c r="F10" s="135"/>
      <c r="G10" s="94">
        <f t="shared" si="2"/>
        <v>0</v>
      </c>
      <c r="H10" s="95">
        <f t="shared" si="3"/>
        <v>0</v>
      </c>
      <c r="I10" s="145">
        <f t="shared" si="4"/>
        <v>0</v>
      </c>
      <c r="J10" s="94">
        <f t="shared" si="5"/>
        <v>0</v>
      </c>
      <c r="K10" s="97">
        <f t="shared" si="6"/>
        <v>0</v>
      </c>
    </row>
    <row r="11" spans="1:11" s="6" customFormat="1" ht="30" customHeight="1" thickBot="1">
      <c r="A11" s="98" t="s">
        <v>12</v>
      </c>
      <c r="B11" s="92" t="s">
        <v>41</v>
      </c>
      <c r="C11" s="148"/>
      <c r="D11" s="94">
        <f t="shared" si="0"/>
        <v>0</v>
      </c>
      <c r="E11" s="95" t="e">
        <f t="shared" si="1"/>
        <v>#DIV/0!</v>
      </c>
      <c r="F11" s="135"/>
      <c r="G11" s="94">
        <f t="shared" si="2"/>
        <v>0</v>
      </c>
      <c r="H11" s="95">
        <f t="shared" si="3"/>
        <v>0</v>
      </c>
      <c r="I11" s="145">
        <f t="shared" si="4"/>
        <v>0</v>
      </c>
      <c r="J11" s="94">
        <f t="shared" si="5"/>
        <v>0</v>
      </c>
      <c r="K11" s="97">
        <f t="shared" si="6"/>
        <v>0</v>
      </c>
    </row>
    <row r="12" spans="1:11" s="6" customFormat="1" ht="16.5" customHeight="1" thickBot="1">
      <c r="A12" s="17"/>
      <c r="B12" s="41" t="s">
        <v>78</v>
      </c>
      <c r="C12" s="149"/>
      <c r="D12" s="29">
        <f t="shared" si="0"/>
        <v>0</v>
      </c>
      <c r="E12" s="34" t="e">
        <f t="shared" si="1"/>
        <v>#DIV/0!</v>
      </c>
      <c r="F12" s="133"/>
      <c r="G12" s="29">
        <f t="shared" si="2"/>
        <v>0</v>
      </c>
      <c r="H12" s="34">
        <f t="shared" si="3"/>
        <v>0</v>
      </c>
      <c r="I12" s="133">
        <f t="shared" si="4"/>
        <v>0</v>
      </c>
      <c r="J12" s="29">
        <f t="shared" si="5"/>
        <v>0</v>
      </c>
      <c r="K12" s="30">
        <f t="shared" si="6"/>
        <v>0</v>
      </c>
    </row>
    <row r="13" spans="1:11" s="6" customFormat="1" ht="15" customHeight="1" thickBot="1">
      <c r="A13" s="99" t="s">
        <v>13</v>
      </c>
      <c r="B13" s="100" t="s">
        <v>42</v>
      </c>
      <c r="C13" s="162"/>
      <c r="D13" s="102">
        <f t="shared" si="0"/>
        <v>0</v>
      </c>
      <c r="E13" s="103" t="e">
        <f t="shared" si="1"/>
        <v>#DIV/0!</v>
      </c>
      <c r="F13" s="135">
        <f>480+40+3+2</f>
        <v>525</v>
      </c>
      <c r="G13" s="102">
        <f t="shared" si="2"/>
        <v>2.5372982847863597</v>
      </c>
      <c r="H13" s="103">
        <f t="shared" si="3"/>
        <v>100</v>
      </c>
      <c r="I13" s="163">
        <f t="shared" si="4"/>
        <v>525</v>
      </c>
      <c r="J13" s="102">
        <f t="shared" si="5"/>
        <v>2.1548804964844663</v>
      </c>
      <c r="K13" s="104">
        <f t="shared" si="6"/>
        <v>100</v>
      </c>
    </row>
    <row r="14" spans="1:11" s="6" customFormat="1" ht="15.75" customHeight="1" thickBot="1">
      <c r="A14" s="98" t="s">
        <v>14</v>
      </c>
      <c r="B14" s="92" t="s">
        <v>43</v>
      </c>
      <c r="C14" s="148"/>
      <c r="D14" s="94">
        <f t="shared" si="0"/>
        <v>0</v>
      </c>
      <c r="E14" s="95" t="e">
        <f t="shared" si="1"/>
        <v>#DIV/0!</v>
      </c>
      <c r="F14" s="135"/>
      <c r="G14" s="94">
        <f t="shared" si="2"/>
        <v>0</v>
      </c>
      <c r="H14" s="95">
        <f t="shared" si="3"/>
        <v>0</v>
      </c>
      <c r="I14" s="145">
        <f t="shared" si="4"/>
        <v>0</v>
      </c>
      <c r="J14" s="94">
        <f t="shared" si="5"/>
        <v>0</v>
      </c>
      <c r="K14" s="113">
        <f t="shared" si="6"/>
        <v>0</v>
      </c>
    </row>
    <row r="15" spans="1:11" s="1" customFormat="1" ht="15.75" customHeight="1" thickBot="1">
      <c r="A15" s="4"/>
      <c r="B15" s="42" t="s">
        <v>44</v>
      </c>
      <c r="C15" s="150"/>
      <c r="D15" s="14">
        <f t="shared" si="0"/>
        <v>0</v>
      </c>
      <c r="E15" s="35" t="e">
        <f t="shared" si="1"/>
        <v>#DIV/0!</v>
      </c>
      <c r="F15" s="133"/>
      <c r="G15" s="14">
        <f t="shared" si="2"/>
        <v>0</v>
      </c>
      <c r="H15" s="35">
        <f t="shared" si="3"/>
        <v>0</v>
      </c>
      <c r="I15" s="140">
        <f t="shared" si="4"/>
        <v>0</v>
      </c>
      <c r="J15" s="14">
        <f t="shared" si="5"/>
        <v>0</v>
      </c>
      <c r="K15" s="20">
        <f t="shared" si="6"/>
        <v>0</v>
      </c>
    </row>
    <row r="16" spans="1:11" s="1" customFormat="1" ht="16.5" customHeight="1" thickBot="1">
      <c r="A16" s="105" t="s">
        <v>15</v>
      </c>
      <c r="B16" s="100" t="s">
        <v>27</v>
      </c>
      <c r="C16" s="151"/>
      <c r="D16" s="107">
        <f t="shared" si="0"/>
        <v>0</v>
      </c>
      <c r="E16" s="108" t="e">
        <f t="shared" si="1"/>
        <v>#DIV/0!</v>
      </c>
      <c r="F16" s="135"/>
      <c r="G16" s="107">
        <f t="shared" si="2"/>
        <v>0</v>
      </c>
      <c r="H16" s="108">
        <f t="shared" si="3"/>
        <v>0</v>
      </c>
      <c r="I16" s="135">
        <f t="shared" si="4"/>
        <v>0</v>
      </c>
      <c r="J16" s="107">
        <f t="shared" si="5"/>
        <v>0</v>
      </c>
      <c r="K16" s="109">
        <f t="shared" si="6"/>
        <v>0</v>
      </c>
    </row>
    <row r="17" spans="1:11" s="6" customFormat="1" ht="18" customHeight="1" thickBot="1">
      <c r="A17" s="110" t="s">
        <v>16</v>
      </c>
      <c r="B17" s="92" t="s">
        <v>45</v>
      </c>
      <c r="C17" s="148"/>
      <c r="D17" s="94">
        <f t="shared" si="0"/>
        <v>0</v>
      </c>
      <c r="E17" s="95" t="e">
        <f t="shared" si="1"/>
        <v>#DIV/0!</v>
      </c>
      <c r="F17" s="137"/>
      <c r="G17" s="94">
        <f t="shared" si="2"/>
        <v>0</v>
      </c>
      <c r="H17" s="95">
        <f t="shared" si="3"/>
        <v>0</v>
      </c>
      <c r="I17" s="145">
        <f t="shared" si="4"/>
        <v>0</v>
      </c>
      <c r="J17" s="94">
        <f t="shared" si="5"/>
        <v>0</v>
      </c>
      <c r="K17" s="97">
        <f t="shared" si="6"/>
        <v>0</v>
      </c>
    </row>
    <row r="18" spans="1:11" s="6" customFormat="1" ht="18" customHeight="1" thickBot="1">
      <c r="A18" s="98" t="s">
        <v>17</v>
      </c>
      <c r="B18" s="156" t="s">
        <v>46</v>
      </c>
      <c r="C18" s="148"/>
      <c r="D18" s="94">
        <f t="shared" si="0"/>
        <v>0</v>
      </c>
      <c r="E18" s="95" t="e">
        <f t="shared" si="1"/>
        <v>#DIV/0!</v>
      </c>
      <c r="F18" s="135"/>
      <c r="G18" s="94">
        <f t="shared" si="2"/>
        <v>0</v>
      </c>
      <c r="H18" s="95">
        <f t="shared" si="3"/>
        <v>0</v>
      </c>
      <c r="I18" s="145">
        <f t="shared" si="4"/>
        <v>0</v>
      </c>
      <c r="J18" s="94">
        <f t="shared" si="5"/>
        <v>0</v>
      </c>
      <c r="K18" s="97">
        <f t="shared" si="6"/>
        <v>0</v>
      </c>
    </row>
    <row r="19" spans="1:11" s="1" customFormat="1" ht="14.25" customHeight="1">
      <c r="A19" s="4"/>
      <c r="B19" s="38" t="s">
        <v>47</v>
      </c>
      <c r="C19" s="146"/>
      <c r="D19" s="18">
        <f t="shared" si="0"/>
        <v>0</v>
      </c>
      <c r="E19" s="31" t="e">
        <f t="shared" si="1"/>
        <v>#DIV/0!</v>
      </c>
      <c r="F19" s="138"/>
      <c r="G19" s="18">
        <f t="shared" si="2"/>
        <v>0</v>
      </c>
      <c r="H19" s="31">
        <f t="shared" si="3"/>
        <v>0</v>
      </c>
      <c r="I19" s="138">
        <f t="shared" si="4"/>
        <v>0</v>
      </c>
      <c r="J19" s="18">
        <f t="shared" si="5"/>
        <v>0</v>
      </c>
      <c r="K19" s="19">
        <f t="shared" si="6"/>
        <v>0</v>
      </c>
    </row>
    <row r="20" spans="1:11" s="1" customFormat="1" ht="15.75" customHeight="1">
      <c r="A20" s="4"/>
      <c r="B20" s="38" t="s">
        <v>48</v>
      </c>
      <c r="C20" s="132"/>
      <c r="D20" s="12">
        <f t="shared" si="0"/>
        <v>0</v>
      </c>
      <c r="E20" s="32" t="e">
        <f t="shared" si="1"/>
        <v>#DIV/0!</v>
      </c>
      <c r="F20" s="132"/>
      <c r="G20" s="12">
        <f t="shared" si="2"/>
        <v>0</v>
      </c>
      <c r="H20" s="32">
        <f t="shared" si="3"/>
        <v>0</v>
      </c>
      <c r="I20" s="132">
        <f t="shared" si="4"/>
        <v>0</v>
      </c>
      <c r="J20" s="12">
        <f t="shared" si="5"/>
        <v>0</v>
      </c>
      <c r="K20" s="13">
        <f t="shared" si="6"/>
        <v>0</v>
      </c>
    </row>
    <row r="21" spans="1:11" s="1" customFormat="1" ht="16.5" customHeight="1" thickBot="1">
      <c r="A21" s="4"/>
      <c r="B21" s="38" t="s">
        <v>49</v>
      </c>
      <c r="C21" s="132"/>
      <c r="D21" s="12">
        <f t="shared" si="0"/>
        <v>0</v>
      </c>
      <c r="E21" s="32" t="e">
        <f t="shared" si="1"/>
        <v>#DIV/0!</v>
      </c>
      <c r="F21" s="133"/>
      <c r="G21" s="12">
        <f t="shared" si="2"/>
        <v>0</v>
      </c>
      <c r="H21" s="32">
        <f t="shared" si="3"/>
        <v>0</v>
      </c>
      <c r="I21" s="132">
        <f t="shared" si="4"/>
        <v>0</v>
      </c>
      <c r="J21" s="12">
        <f t="shared" si="5"/>
        <v>0</v>
      </c>
      <c r="K21" s="13">
        <f t="shared" si="6"/>
        <v>0</v>
      </c>
    </row>
    <row r="22" spans="1:11" s="6" customFormat="1" ht="15.75" customHeight="1" thickBot="1">
      <c r="A22" s="98" t="s">
        <v>28</v>
      </c>
      <c r="B22" s="92" t="s">
        <v>50</v>
      </c>
      <c r="C22" s="148"/>
      <c r="D22" s="94">
        <f t="shared" si="0"/>
        <v>0</v>
      </c>
      <c r="E22" s="95" t="e">
        <f t="shared" si="1"/>
        <v>#DIV/0!</v>
      </c>
      <c r="F22" s="135"/>
      <c r="G22" s="94">
        <f t="shared" si="2"/>
        <v>0</v>
      </c>
      <c r="H22" s="95">
        <f t="shared" si="3"/>
        <v>0</v>
      </c>
      <c r="I22" s="145">
        <f t="shared" si="4"/>
        <v>0</v>
      </c>
      <c r="J22" s="94">
        <f t="shared" si="5"/>
        <v>0</v>
      </c>
      <c r="K22" s="97">
        <f t="shared" si="6"/>
        <v>0</v>
      </c>
    </row>
    <row r="23" spans="1:11" s="1" customFormat="1" ht="15.75" customHeight="1">
      <c r="A23" s="4"/>
      <c r="B23" s="40" t="s">
        <v>51</v>
      </c>
      <c r="C23" s="146"/>
      <c r="D23" s="18">
        <f t="shared" si="0"/>
        <v>0</v>
      </c>
      <c r="E23" s="31" t="e">
        <f t="shared" si="1"/>
        <v>#DIV/0!</v>
      </c>
      <c r="F23" s="138"/>
      <c r="G23" s="18">
        <f t="shared" si="2"/>
        <v>0</v>
      </c>
      <c r="H23" s="31">
        <f t="shared" si="3"/>
        <v>0</v>
      </c>
      <c r="I23" s="138">
        <f t="shared" si="4"/>
        <v>0</v>
      </c>
      <c r="J23" s="18">
        <f t="shared" si="5"/>
        <v>0</v>
      </c>
      <c r="K23" s="19">
        <f t="shared" si="6"/>
        <v>0</v>
      </c>
    </row>
    <row r="24" spans="1:11" s="1" customFormat="1" ht="14.25" customHeight="1">
      <c r="A24" s="4"/>
      <c r="B24" s="38" t="s">
        <v>52</v>
      </c>
      <c r="C24" s="147"/>
      <c r="D24" s="12">
        <f t="shared" si="0"/>
        <v>0</v>
      </c>
      <c r="E24" s="32" t="e">
        <f t="shared" si="1"/>
        <v>#DIV/0!</v>
      </c>
      <c r="F24" s="132"/>
      <c r="G24" s="12">
        <f t="shared" si="2"/>
        <v>0</v>
      </c>
      <c r="H24" s="32">
        <f t="shared" si="3"/>
        <v>0</v>
      </c>
      <c r="I24" s="132">
        <f t="shared" si="4"/>
        <v>0</v>
      </c>
      <c r="J24" s="12">
        <f t="shared" si="5"/>
        <v>0</v>
      </c>
      <c r="K24" s="13">
        <f t="shared" si="6"/>
        <v>0</v>
      </c>
    </row>
    <row r="25" spans="1:11" s="1" customFormat="1" ht="15.75" customHeight="1">
      <c r="A25" s="4"/>
      <c r="B25" s="38" t="s">
        <v>85</v>
      </c>
      <c r="C25" s="147"/>
      <c r="D25" s="12">
        <f t="shared" si="0"/>
        <v>0</v>
      </c>
      <c r="E25" s="32" t="e">
        <f t="shared" si="1"/>
        <v>#DIV/0!</v>
      </c>
      <c r="F25" s="132"/>
      <c r="G25" s="12">
        <f t="shared" si="2"/>
        <v>0</v>
      </c>
      <c r="H25" s="32">
        <f t="shared" si="3"/>
        <v>0</v>
      </c>
      <c r="I25" s="132">
        <f t="shared" si="4"/>
        <v>0</v>
      </c>
      <c r="J25" s="12">
        <f t="shared" si="5"/>
        <v>0</v>
      </c>
      <c r="K25" s="13">
        <f t="shared" si="6"/>
        <v>0</v>
      </c>
    </row>
    <row r="26" spans="1:11" s="1" customFormat="1" ht="13.5" thickBot="1">
      <c r="A26" s="4"/>
      <c r="B26" s="38" t="s">
        <v>86</v>
      </c>
      <c r="C26" s="147"/>
      <c r="D26" s="12">
        <f t="shared" si="0"/>
        <v>0</v>
      </c>
      <c r="E26" s="32" t="e">
        <f t="shared" si="1"/>
        <v>#DIV/0!</v>
      </c>
      <c r="F26" s="133"/>
      <c r="G26" s="12">
        <f t="shared" si="2"/>
        <v>0</v>
      </c>
      <c r="H26" s="32">
        <f t="shared" si="3"/>
        <v>0</v>
      </c>
      <c r="I26" s="132">
        <f t="shared" si="4"/>
        <v>0</v>
      </c>
      <c r="J26" s="12">
        <f t="shared" si="5"/>
        <v>0</v>
      </c>
      <c r="K26" s="13">
        <f t="shared" si="6"/>
        <v>0</v>
      </c>
    </row>
    <row r="27" spans="1:11" s="6" customFormat="1" ht="14.25" customHeight="1" thickBot="1">
      <c r="A27" s="98" t="s">
        <v>18</v>
      </c>
      <c r="B27" s="92" t="s">
        <v>53</v>
      </c>
      <c r="C27" s="148"/>
      <c r="D27" s="94">
        <f t="shared" si="0"/>
        <v>0</v>
      </c>
      <c r="E27" s="95" t="e">
        <f t="shared" si="1"/>
        <v>#DIV/0!</v>
      </c>
      <c r="F27" s="135"/>
      <c r="G27" s="94">
        <f t="shared" si="2"/>
        <v>0</v>
      </c>
      <c r="H27" s="95">
        <f t="shared" si="3"/>
        <v>0</v>
      </c>
      <c r="I27" s="145">
        <f t="shared" si="4"/>
        <v>0</v>
      </c>
      <c r="J27" s="94">
        <f t="shared" si="5"/>
        <v>0</v>
      </c>
      <c r="K27" s="97">
        <f t="shared" si="6"/>
        <v>0</v>
      </c>
    </row>
    <row r="28" spans="1:11" s="1" customFormat="1" ht="15" customHeight="1">
      <c r="A28" s="4"/>
      <c r="B28" s="40" t="s">
        <v>54</v>
      </c>
      <c r="C28" s="146"/>
      <c r="D28" s="18">
        <f t="shared" si="0"/>
        <v>0</v>
      </c>
      <c r="E28" s="31" t="e">
        <f t="shared" si="1"/>
        <v>#DIV/0!</v>
      </c>
      <c r="F28" s="138"/>
      <c r="G28" s="18">
        <f t="shared" si="2"/>
        <v>0</v>
      </c>
      <c r="H28" s="31">
        <f t="shared" si="3"/>
        <v>0</v>
      </c>
      <c r="I28" s="138">
        <f t="shared" si="4"/>
        <v>0</v>
      </c>
      <c r="J28" s="18">
        <f t="shared" si="5"/>
        <v>0</v>
      </c>
      <c r="K28" s="19">
        <f t="shared" si="6"/>
        <v>0</v>
      </c>
    </row>
    <row r="29" spans="1:11" s="1" customFormat="1" ht="15" customHeight="1">
      <c r="A29" s="4"/>
      <c r="B29" s="38" t="s">
        <v>55</v>
      </c>
      <c r="C29" s="147"/>
      <c r="D29" s="12">
        <f t="shared" si="0"/>
        <v>0</v>
      </c>
      <c r="E29" s="32" t="e">
        <f t="shared" si="1"/>
        <v>#DIV/0!</v>
      </c>
      <c r="F29" s="132"/>
      <c r="G29" s="12">
        <f t="shared" si="2"/>
        <v>0</v>
      </c>
      <c r="H29" s="32">
        <f t="shared" si="3"/>
        <v>0</v>
      </c>
      <c r="I29" s="132">
        <f t="shared" si="4"/>
        <v>0</v>
      </c>
      <c r="J29" s="12">
        <f t="shared" si="5"/>
        <v>0</v>
      </c>
      <c r="K29" s="13">
        <f t="shared" si="6"/>
        <v>0</v>
      </c>
    </row>
    <row r="30" spans="1:11" s="1" customFormat="1" ht="12.75">
      <c r="A30" s="4"/>
      <c r="B30" s="38" t="s">
        <v>56</v>
      </c>
      <c r="C30" s="147"/>
      <c r="D30" s="12">
        <f t="shared" si="0"/>
        <v>0</v>
      </c>
      <c r="E30" s="32" t="e">
        <f t="shared" si="1"/>
        <v>#DIV/0!</v>
      </c>
      <c r="F30" s="139"/>
      <c r="G30" s="12">
        <f t="shared" si="2"/>
        <v>0</v>
      </c>
      <c r="H30" s="32">
        <f t="shared" si="3"/>
        <v>0</v>
      </c>
      <c r="I30" s="132">
        <f t="shared" si="4"/>
        <v>0</v>
      </c>
      <c r="J30" s="12">
        <f t="shared" si="5"/>
        <v>0</v>
      </c>
      <c r="K30" s="13">
        <f t="shared" si="6"/>
        <v>0</v>
      </c>
    </row>
    <row r="31" spans="1:11" s="1" customFormat="1" ht="18" customHeight="1" thickBot="1">
      <c r="A31" s="5"/>
      <c r="B31" s="38" t="s">
        <v>57</v>
      </c>
      <c r="C31" s="147"/>
      <c r="D31" s="12">
        <f t="shared" si="0"/>
        <v>0</v>
      </c>
      <c r="E31" s="32" t="e">
        <f t="shared" si="1"/>
        <v>#DIV/0!</v>
      </c>
      <c r="F31" s="136"/>
      <c r="G31" s="12">
        <f t="shared" si="2"/>
        <v>0</v>
      </c>
      <c r="H31" s="32">
        <f t="shared" si="3"/>
        <v>0</v>
      </c>
      <c r="I31" s="132">
        <f t="shared" si="4"/>
        <v>0</v>
      </c>
      <c r="J31" s="12">
        <f t="shared" si="5"/>
        <v>0</v>
      </c>
      <c r="K31" s="13">
        <f t="shared" si="6"/>
        <v>0</v>
      </c>
    </row>
    <row r="32" spans="1:11" s="1" customFormat="1" ht="16.5" customHeight="1" thickBot="1">
      <c r="A32" s="99" t="s">
        <v>75</v>
      </c>
      <c r="B32" s="92" t="s">
        <v>61</v>
      </c>
      <c r="C32" s="148"/>
      <c r="D32" s="94">
        <f t="shared" si="0"/>
        <v>0</v>
      </c>
      <c r="E32" s="95" t="e">
        <f t="shared" si="1"/>
        <v>#DIV/0!</v>
      </c>
      <c r="F32" s="135"/>
      <c r="G32" s="94">
        <f t="shared" si="2"/>
        <v>0</v>
      </c>
      <c r="H32" s="95">
        <f t="shared" si="3"/>
        <v>0</v>
      </c>
      <c r="I32" s="145">
        <f t="shared" si="4"/>
        <v>0</v>
      </c>
      <c r="J32" s="94">
        <f t="shared" si="5"/>
        <v>0</v>
      </c>
      <c r="K32" s="97">
        <f t="shared" si="6"/>
        <v>0</v>
      </c>
    </row>
    <row r="33" spans="1:11" s="1" customFormat="1" ht="26.25" thickBot="1">
      <c r="A33" s="99" t="s">
        <v>76</v>
      </c>
      <c r="B33" s="92" t="s">
        <v>62</v>
      </c>
      <c r="C33" s="148"/>
      <c r="D33" s="94">
        <f t="shared" si="0"/>
        <v>0</v>
      </c>
      <c r="E33" s="95" t="e">
        <f t="shared" si="1"/>
        <v>#DIV/0!</v>
      </c>
      <c r="F33" s="135"/>
      <c r="G33" s="94">
        <f t="shared" si="2"/>
        <v>0</v>
      </c>
      <c r="H33" s="95">
        <f t="shared" si="3"/>
        <v>0</v>
      </c>
      <c r="I33" s="145">
        <f t="shared" si="4"/>
        <v>0</v>
      </c>
      <c r="J33" s="94">
        <f t="shared" si="5"/>
        <v>0</v>
      </c>
      <c r="K33" s="97">
        <f t="shared" si="6"/>
        <v>0</v>
      </c>
    </row>
    <row r="34" spans="1:11" s="6" customFormat="1" ht="21" customHeight="1" thickBot="1">
      <c r="A34" s="98" t="s">
        <v>19</v>
      </c>
      <c r="B34" s="92" t="s">
        <v>58</v>
      </c>
      <c r="C34" s="148"/>
      <c r="D34" s="94">
        <f t="shared" si="0"/>
        <v>0</v>
      </c>
      <c r="E34" s="95" t="e">
        <f t="shared" si="1"/>
        <v>#DIV/0!</v>
      </c>
      <c r="F34" s="135"/>
      <c r="G34" s="94">
        <f t="shared" si="2"/>
        <v>0</v>
      </c>
      <c r="H34" s="95">
        <f t="shared" si="3"/>
        <v>0</v>
      </c>
      <c r="I34" s="145">
        <f t="shared" si="4"/>
        <v>0</v>
      </c>
      <c r="J34" s="94">
        <f t="shared" si="5"/>
        <v>0</v>
      </c>
      <c r="K34" s="97">
        <f t="shared" si="6"/>
        <v>0</v>
      </c>
    </row>
    <row r="35" spans="1:11" s="1" customFormat="1" ht="12.75">
      <c r="A35" s="4"/>
      <c r="B35" s="40" t="s">
        <v>59</v>
      </c>
      <c r="C35" s="146"/>
      <c r="D35" s="25">
        <f t="shared" si="0"/>
        <v>0</v>
      </c>
      <c r="E35" s="36" t="e">
        <f t="shared" si="1"/>
        <v>#DIV/0!</v>
      </c>
      <c r="F35" s="138"/>
      <c r="G35" s="25">
        <f t="shared" si="2"/>
        <v>0</v>
      </c>
      <c r="H35" s="36">
        <f t="shared" si="3"/>
        <v>0</v>
      </c>
      <c r="I35" s="138">
        <f t="shared" si="4"/>
        <v>0</v>
      </c>
      <c r="J35" s="25">
        <f t="shared" si="5"/>
        <v>0</v>
      </c>
      <c r="K35" s="26">
        <f t="shared" si="6"/>
        <v>0</v>
      </c>
    </row>
    <row r="36" spans="1:11" s="1" customFormat="1" ht="13.5" customHeight="1">
      <c r="A36" s="4"/>
      <c r="B36" s="43" t="s">
        <v>31</v>
      </c>
      <c r="C36" s="147"/>
      <c r="D36" s="27">
        <f t="shared" si="0"/>
        <v>0</v>
      </c>
      <c r="E36" s="37" t="e">
        <f t="shared" si="1"/>
        <v>#DIV/0!</v>
      </c>
      <c r="F36" s="132"/>
      <c r="G36" s="27">
        <f t="shared" si="2"/>
        <v>0</v>
      </c>
      <c r="H36" s="37">
        <f t="shared" si="3"/>
        <v>0</v>
      </c>
      <c r="I36" s="132">
        <f t="shared" si="4"/>
        <v>0</v>
      </c>
      <c r="J36" s="27">
        <f t="shared" si="5"/>
        <v>0</v>
      </c>
      <c r="K36" s="28">
        <f t="shared" si="6"/>
        <v>0</v>
      </c>
    </row>
    <row r="37" spans="1:11" s="1" customFormat="1" ht="12" customHeight="1" thickBot="1">
      <c r="A37" s="16"/>
      <c r="B37" s="38" t="s">
        <v>84</v>
      </c>
      <c r="C37" s="147"/>
      <c r="D37" s="27">
        <f aca="true" t="shared" si="7" ref="D37:D58">C37*1000/$D$2</f>
        <v>0</v>
      </c>
      <c r="E37" s="37" t="e">
        <f aca="true" t="shared" si="8" ref="E37:E57">C37*100/C$58</f>
        <v>#DIV/0!</v>
      </c>
      <c r="F37" s="140"/>
      <c r="G37" s="27">
        <f aca="true" t="shared" si="9" ref="G37:G58">F37*1000/$G$2</f>
        <v>0</v>
      </c>
      <c r="H37" s="37">
        <f aca="true" t="shared" si="10" ref="H37:H57">F37*100/F$58</f>
        <v>0</v>
      </c>
      <c r="I37" s="132">
        <f aca="true" t="shared" si="11" ref="I37:I57">SUM(C37,F37)</f>
        <v>0</v>
      </c>
      <c r="J37" s="27">
        <f aca="true" t="shared" si="12" ref="J37:J58">I37*1000/$J$2</f>
        <v>0</v>
      </c>
      <c r="K37" s="28">
        <f aca="true" t="shared" si="13" ref="K37:K57">I37*100/I$58</f>
        <v>0</v>
      </c>
    </row>
    <row r="38" spans="1:11" s="6" customFormat="1" ht="21" customHeight="1" thickBot="1">
      <c r="A38" s="98" t="s">
        <v>20</v>
      </c>
      <c r="B38" s="92" t="s">
        <v>32</v>
      </c>
      <c r="C38" s="148"/>
      <c r="D38" s="94">
        <f t="shared" si="7"/>
        <v>0</v>
      </c>
      <c r="E38" s="95" t="e">
        <f t="shared" si="8"/>
        <v>#DIV/0!</v>
      </c>
      <c r="F38" s="135"/>
      <c r="G38" s="94">
        <f t="shared" si="9"/>
        <v>0</v>
      </c>
      <c r="H38" s="95">
        <f t="shared" si="10"/>
        <v>0</v>
      </c>
      <c r="I38" s="145">
        <f t="shared" si="11"/>
        <v>0</v>
      </c>
      <c r="J38" s="94">
        <f t="shared" si="12"/>
        <v>0</v>
      </c>
      <c r="K38" s="113">
        <f t="shared" si="13"/>
        <v>0</v>
      </c>
    </row>
    <row r="39" spans="1:11" s="1" customFormat="1" ht="12.75">
      <c r="A39" s="4"/>
      <c r="B39" s="40" t="s">
        <v>60</v>
      </c>
      <c r="C39" s="146"/>
      <c r="D39" s="18">
        <f t="shared" si="7"/>
        <v>0</v>
      </c>
      <c r="E39" s="31" t="e">
        <f t="shared" si="8"/>
        <v>#DIV/0!</v>
      </c>
      <c r="F39" s="138"/>
      <c r="G39" s="18">
        <f t="shared" si="9"/>
        <v>0</v>
      </c>
      <c r="H39" s="31">
        <f t="shared" si="10"/>
        <v>0</v>
      </c>
      <c r="I39" s="138">
        <f t="shared" si="11"/>
        <v>0</v>
      </c>
      <c r="J39" s="18">
        <f t="shared" si="12"/>
        <v>0</v>
      </c>
      <c r="K39" s="19">
        <f t="shared" si="13"/>
        <v>0</v>
      </c>
    </row>
    <row r="40" spans="1:11" s="1" customFormat="1" ht="12.75">
      <c r="A40" s="4"/>
      <c r="B40" s="38" t="s">
        <v>34</v>
      </c>
      <c r="C40" s="147"/>
      <c r="D40" s="12">
        <f t="shared" si="7"/>
        <v>0</v>
      </c>
      <c r="E40" s="32" t="e">
        <f t="shared" si="8"/>
        <v>#DIV/0!</v>
      </c>
      <c r="F40" s="132"/>
      <c r="G40" s="12">
        <f t="shared" si="9"/>
        <v>0</v>
      </c>
      <c r="H40" s="32">
        <f t="shared" si="10"/>
        <v>0</v>
      </c>
      <c r="I40" s="132">
        <f t="shared" si="11"/>
        <v>0</v>
      </c>
      <c r="J40" s="12">
        <f t="shared" si="12"/>
        <v>0</v>
      </c>
      <c r="K40" s="13">
        <f t="shared" si="13"/>
        <v>0</v>
      </c>
    </row>
    <row r="41" spans="1:11" s="1" customFormat="1" ht="12.75">
      <c r="A41" s="4"/>
      <c r="B41" s="38" t="s">
        <v>25</v>
      </c>
      <c r="C41" s="147"/>
      <c r="D41" s="12">
        <f t="shared" si="7"/>
        <v>0</v>
      </c>
      <c r="E41" s="32" t="e">
        <f t="shared" si="8"/>
        <v>#DIV/0!</v>
      </c>
      <c r="F41" s="132"/>
      <c r="G41" s="12">
        <f t="shared" si="9"/>
        <v>0</v>
      </c>
      <c r="H41" s="32">
        <f t="shared" si="10"/>
        <v>0</v>
      </c>
      <c r="I41" s="132">
        <f t="shared" si="11"/>
        <v>0</v>
      </c>
      <c r="J41" s="12">
        <f t="shared" si="12"/>
        <v>0</v>
      </c>
      <c r="K41" s="13">
        <f t="shared" si="13"/>
        <v>0</v>
      </c>
    </row>
    <row r="42" spans="1:11" s="1" customFormat="1" ht="13.5" thickBot="1">
      <c r="A42" s="5"/>
      <c r="B42" s="38" t="s">
        <v>35</v>
      </c>
      <c r="C42" s="147"/>
      <c r="D42" s="12">
        <f t="shared" si="7"/>
        <v>0</v>
      </c>
      <c r="E42" s="32" t="e">
        <f t="shared" si="8"/>
        <v>#DIV/0!</v>
      </c>
      <c r="F42" s="133"/>
      <c r="G42" s="12">
        <f t="shared" si="9"/>
        <v>0</v>
      </c>
      <c r="H42" s="32">
        <f t="shared" si="10"/>
        <v>0</v>
      </c>
      <c r="I42" s="132">
        <f t="shared" si="11"/>
        <v>0</v>
      </c>
      <c r="J42" s="12">
        <f t="shared" si="12"/>
        <v>0</v>
      </c>
      <c r="K42" s="13">
        <f t="shared" si="13"/>
        <v>0</v>
      </c>
    </row>
    <row r="43" spans="1:11" s="6" customFormat="1" ht="23.25" customHeight="1" thickBot="1">
      <c r="A43" s="98" t="s">
        <v>21</v>
      </c>
      <c r="B43" s="92" t="s">
        <v>64</v>
      </c>
      <c r="C43" s="148"/>
      <c r="D43" s="94">
        <f t="shared" si="7"/>
        <v>0</v>
      </c>
      <c r="E43" s="95" t="e">
        <f t="shared" si="8"/>
        <v>#DIV/0!</v>
      </c>
      <c r="F43" s="135"/>
      <c r="G43" s="94">
        <f t="shared" si="9"/>
        <v>0</v>
      </c>
      <c r="H43" s="95">
        <f t="shared" si="10"/>
        <v>0</v>
      </c>
      <c r="I43" s="145">
        <f t="shared" si="11"/>
        <v>0</v>
      </c>
      <c r="J43" s="94">
        <f t="shared" si="12"/>
        <v>0</v>
      </c>
      <c r="K43" s="113">
        <f t="shared" si="13"/>
        <v>0</v>
      </c>
    </row>
    <row r="44" spans="1:11" s="1" customFormat="1" ht="33.75" customHeight="1" thickBot="1">
      <c r="A44" s="9"/>
      <c r="B44" s="161" t="s">
        <v>81</v>
      </c>
      <c r="C44" s="146"/>
      <c r="D44" s="18">
        <f t="shared" si="7"/>
        <v>0</v>
      </c>
      <c r="E44" s="31" t="e">
        <f t="shared" si="8"/>
        <v>#DIV/0!</v>
      </c>
      <c r="F44" s="143"/>
      <c r="G44" s="18">
        <f t="shared" si="9"/>
        <v>0</v>
      </c>
      <c r="H44" s="31">
        <f t="shared" si="10"/>
        <v>0</v>
      </c>
      <c r="I44" s="138">
        <f t="shared" si="11"/>
        <v>0</v>
      </c>
      <c r="J44" s="18">
        <f t="shared" si="12"/>
        <v>0</v>
      </c>
      <c r="K44" s="19">
        <f t="shared" si="13"/>
        <v>0</v>
      </c>
    </row>
    <row r="45" spans="1:11" s="1" customFormat="1" ht="16.5" customHeight="1" thickBot="1">
      <c r="A45" s="4"/>
      <c r="B45" s="159" t="s">
        <v>79</v>
      </c>
      <c r="C45" s="147"/>
      <c r="D45" s="12">
        <f t="shared" si="7"/>
        <v>0</v>
      </c>
      <c r="E45" s="32" t="e">
        <f t="shared" si="8"/>
        <v>#DIV/0!</v>
      </c>
      <c r="F45" s="141"/>
      <c r="G45" s="12">
        <f t="shared" si="9"/>
        <v>0</v>
      </c>
      <c r="H45" s="32">
        <f t="shared" si="10"/>
        <v>0</v>
      </c>
      <c r="I45" s="132">
        <f t="shared" si="11"/>
        <v>0</v>
      </c>
      <c r="J45" s="12">
        <f t="shared" si="12"/>
        <v>0</v>
      </c>
      <c r="K45" s="13">
        <f t="shared" si="13"/>
        <v>0</v>
      </c>
    </row>
    <row r="46" spans="1:11" s="1" customFormat="1" ht="18" customHeight="1" thickBot="1">
      <c r="A46" s="99" t="s">
        <v>77</v>
      </c>
      <c r="B46" s="92" t="s">
        <v>63</v>
      </c>
      <c r="C46" s="148"/>
      <c r="D46" s="94">
        <f t="shared" si="7"/>
        <v>0</v>
      </c>
      <c r="E46" s="95" t="e">
        <f t="shared" si="8"/>
        <v>#DIV/0!</v>
      </c>
      <c r="F46" s="135"/>
      <c r="G46" s="94">
        <f t="shared" si="9"/>
        <v>0</v>
      </c>
      <c r="H46" s="95">
        <f t="shared" si="10"/>
        <v>0</v>
      </c>
      <c r="I46" s="145">
        <f t="shared" si="11"/>
        <v>0</v>
      </c>
      <c r="J46" s="94">
        <f t="shared" si="12"/>
        <v>0</v>
      </c>
      <c r="K46" s="97">
        <f t="shared" si="13"/>
        <v>0</v>
      </c>
    </row>
    <row r="47" spans="1:11" s="6" customFormat="1" ht="21" customHeight="1" thickBot="1">
      <c r="A47" s="99" t="s">
        <v>29</v>
      </c>
      <c r="B47" s="92" t="s">
        <v>65</v>
      </c>
      <c r="C47" s="148"/>
      <c r="D47" s="94">
        <f t="shared" si="7"/>
        <v>0</v>
      </c>
      <c r="E47" s="95" t="e">
        <f t="shared" si="8"/>
        <v>#DIV/0!</v>
      </c>
      <c r="F47" s="135"/>
      <c r="G47" s="94">
        <f t="shared" si="9"/>
        <v>0</v>
      </c>
      <c r="H47" s="95">
        <f t="shared" si="10"/>
        <v>0</v>
      </c>
      <c r="I47" s="145">
        <f t="shared" si="11"/>
        <v>0</v>
      </c>
      <c r="J47" s="94">
        <f t="shared" si="12"/>
        <v>0</v>
      </c>
      <c r="K47" s="97">
        <f t="shared" si="13"/>
        <v>0</v>
      </c>
    </row>
    <row r="48" spans="1:11" s="6" customFormat="1" ht="19.5" customHeight="1" thickBot="1">
      <c r="A48" s="98" t="s">
        <v>30</v>
      </c>
      <c r="B48" s="92" t="s">
        <v>66</v>
      </c>
      <c r="C48" s="148"/>
      <c r="D48" s="94">
        <f t="shared" si="7"/>
        <v>0</v>
      </c>
      <c r="E48" s="95" t="e">
        <f t="shared" si="8"/>
        <v>#DIV/0!</v>
      </c>
      <c r="F48" s="135"/>
      <c r="G48" s="94">
        <f t="shared" si="9"/>
        <v>0</v>
      </c>
      <c r="H48" s="95">
        <f t="shared" si="10"/>
        <v>0</v>
      </c>
      <c r="I48" s="145">
        <f t="shared" si="11"/>
        <v>0</v>
      </c>
      <c r="J48" s="94">
        <f t="shared" si="12"/>
        <v>0</v>
      </c>
      <c r="K48" s="97">
        <f t="shared" si="13"/>
        <v>0</v>
      </c>
    </row>
    <row r="49" spans="1:11" s="1" customFormat="1" ht="17.25" customHeight="1">
      <c r="A49" s="4"/>
      <c r="B49" s="40" t="s">
        <v>67</v>
      </c>
      <c r="C49" s="146"/>
      <c r="D49" s="18">
        <f t="shared" si="7"/>
        <v>0</v>
      </c>
      <c r="E49" s="31" t="e">
        <f t="shared" si="8"/>
        <v>#DIV/0!</v>
      </c>
      <c r="F49" s="138"/>
      <c r="G49" s="18">
        <f t="shared" si="9"/>
        <v>0</v>
      </c>
      <c r="H49" s="31">
        <f t="shared" si="10"/>
        <v>0</v>
      </c>
      <c r="I49" s="138">
        <f t="shared" si="11"/>
        <v>0</v>
      </c>
      <c r="J49" s="18">
        <f t="shared" si="12"/>
        <v>0</v>
      </c>
      <c r="K49" s="19">
        <f t="shared" si="13"/>
        <v>0</v>
      </c>
    </row>
    <row r="50" spans="1:11" s="1" customFormat="1" ht="12.75">
      <c r="A50" s="4"/>
      <c r="B50" s="38" t="s">
        <v>71</v>
      </c>
      <c r="C50" s="147"/>
      <c r="D50" s="12">
        <f t="shared" si="7"/>
        <v>0</v>
      </c>
      <c r="E50" s="32" t="e">
        <f t="shared" si="8"/>
        <v>#DIV/0!</v>
      </c>
      <c r="F50" s="132"/>
      <c r="G50" s="12">
        <f t="shared" si="9"/>
        <v>0</v>
      </c>
      <c r="H50" s="32">
        <f t="shared" si="10"/>
        <v>0</v>
      </c>
      <c r="I50" s="132">
        <f t="shared" si="11"/>
        <v>0</v>
      </c>
      <c r="J50" s="12">
        <f t="shared" si="12"/>
        <v>0</v>
      </c>
      <c r="K50" s="13">
        <f t="shared" si="13"/>
        <v>0</v>
      </c>
    </row>
    <row r="51" spans="1:11" s="1" customFormat="1" ht="15.75" customHeight="1">
      <c r="A51" s="4"/>
      <c r="B51" s="38" t="s">
        <v>68</v>
      </c>
      <c r="C51" s="147"/>
      <c r="D51" s="12">
        <f t="shared" si="7"/>
        <v>0</v>
      </c>
      <c r="E51" s="32" t="e">
        <f t="shared" si="8"/>
        <v>#DIV/0!</v>
      </c>
      <c r="F51" s="132"/>
      <c r="G51" s="12">
        <f t="shared" si="9"/>
        <v>0</v>
      </c>
      <c r="H51" s="32">
        <f t="shared" si="10"/>
        <v>0</v>
      </c>
      <c r="I51" s="132">
        <f t="shared" si="11"/>
        <v>0</v>
      </c>
      <c r="J51" s="12">
        <f t="shared" si="12"/>
        <v>0</v>
      </c>
      <c r="K51" s="13">
        <f t="shared" si="13"/>
        <v>0</v>
      </c>
    </row>
    <row r="52" spans="1:11" s="1" customFormat="1" ht="12.75">
      <c r="A52" s="4"/>
      <c r="B52" s="38" t="s">
        <v>72</v>
      </c>
      <c r="C52" s="147"/>
      <c r="D52" s="12">
        <f t="shared" si="7"/>
        <v>0</v>
      </c>
      <c r="E52" s="32" t="e">
        <f t="shared" si="8"/>
        <v>#DIV/0!</v>
      </c>
      <c r="F52" s="132"/>
      <c r="G52" s="12">
        <f t="shared" si="9"/>
        <v>0</v>
      </c>
      <c r="H52" s="32">
        <f t="shared" si="10"/>
        <v>0</v>
      </c>
      <c r="I52" s="132">
        <f t="shared" si="11"/>
        <v>0</v>
      </c>
      <c r="J52" s="12">
        <f t="shared" si="12"/>
        <v>0</v>
      </c>
      <c r="K52" s="13">
        <f t="shared" si="13"/>
        <v>0</v>
      </c>
    </row>
    <row r="53" spans="1:11" s="1" customFormat="1" ht="16.5" customHeight="1">
      <c r="A53" s="4"/>
      <c r="B53" s="38" t="s">
        <v>69</v>
      </c>
      <c r="C53" s="147"/>
      <c r="D53" s="12">
        <f t="shared" si="7"/>
        <v>0</v>
      </c>
      <c r="E53" s="32" t="e">
        <f t="shared" si="8"/>
        <v>#DIV/0!</v>
      </c>
      <c r="F53" s="132"/>
      <c r="G53" s="12">
        <f t="shared" si="9"/>
        <v>0</v>
      </c>
      <c r="H53" s="32">
        <f t="shared" si="10"/>
        <v>0</v>
      </c>
      <c r="I53" s="132">
        <f t="shared" si="11"/>
        <v>0</v>
      </c>
      <c r="J53" s="12">
        <f t="shared" si="12"/>
        <v>0</v>
      </c>
      <c r="K53" s="13">
        <f t="shared" si="13"/>
        <v>0</v>
      </c>
    </row>
    <row r="54" spans="1:11" s="1" customFormat="1" ht="12" customHeight="1">
      <c r="A54" s="4"/>
      <c r="B54" s="38" t="s">
        <v>73</v>
      </c>
      <c r="C54" s="147"/>
      <c r="D54" s="12">
        <f t="shared" si="7"/>
        <v>0</v>
      </c>
      <c r="E54" s="32" t="e">
        <f t="shared" si="8"/>
        <v>#DIV/0!</v>
      </c>
      <c r="F54" s="132"/>
      <c r="G54" s="12">
        <f t="shared" si="9"/>
        <v>0</v>
      </c>
      <c r="H54" s="32">
        <f t="shared" si="10"/>
        <v>0</v>
      </c>
      <c r="I54" s="132">
        <f t="shared" si="11"/>
        <v>0</v>
      </c>
      <c r="J54" s="12">
        <f t="shared" si="12"/>
        <v>0</v>
      </c>
      <c r="K54" s="13">
        <f t="shared" si="13"/>
        <v>0</v>
      </c>
    </row>
    <row r="55" spans="1:11" s="1" customFormat="1" ht="16.5" customHeight="1">
      <c r="A55" s="4"/>
      <c r="B55" s="38" t="s">
        <v>70</v>
      </c>
      <c r="C55" s="147"/>
      <c r="D55" s="12">
        <f t="shared" si="7"/>
        <v>0</v>
      </c>
      <c r="E55" s="32" t="e">
        <f t="shared" si="8"/>
        <v>#DIV/0!</v>
      </c>
      <c r="F55" s="132"/>
      <c r="G55" s="12">
        <f t="shared" si="9"/>
        <v>0</v>
      </c>
      <c r="H55" s="32">
        <f t="shared" si="10"/>
        <v>0</v>
      </c>
      <c r="I55" s="132">
        <f t="shared" si="11"/>
        <v>0</v>
      </c>
      <c r="J55" s="12">
        <f t="shared" si="12"/>
        <v>0</v>
      </c>
      <c r="K55" s="13">
        <f t="shared" si="13"/>
        <v>0</v>
      </c>
    </row>
    <row r="56" spans="1:11" s="1" customFormat="1" ht="12.75">
      <c r="A56" s="4"/>
      <c r="B56" s="38" t="s">
        <v>74</v>
      </c>
      <c r="C56" s="147"/>
      <c r="D56" s="12">
        <f t="shared" si="7"/>
        <v>0</v>
      </c>
      <c r="E56" s="32" t="e">
        <f t="shared" si="8"/>
        <v>#DIV/0!</v>
      </c>
      <c r="F56" s="132"/>
      <c r="G56" s="12">
        <f t="shared" si="9"/>
        <v>0</v>
      </c>
      <c r="H56" s="32">
        <f t="shared" si="10"/>
        <v>0</v>
      </c>
      <c r="I56" s="132">
        <f t="shared" si="11"/>
        <v>0</v>
      </c>
      <c r="J56" s="12">
        <f t="shared" si="12"/>
        <v>0</v>
      </c>
      <c r="K56" s="13">
        <f t="shared" si="13"/>
        <v>0</v>
      </c>
    </row>
    <row r="57" spans="1:11" s="1" customFormat="1" ht="13.5" thickBot="1">
      <c r="A57" s="4"/>
      <c r="B57" s="38" t="s">
        <v>33</v>
      </c>
      <c r="C57" s="152"/>
      <c r="D57" s="12">
        <f t="shared" si="7"/>
        <v>0</v>
      </c>
      <c r="E57" s="32" t="e">
        <f t="shared" si="8"/>
        <v>#DIV/0!</v>
      </c>
      <c r="F57" s="139"/>
      <c r="G57" s="12">
        <f t="shared" si="9"/>
        <v>0</v>
      </c>
      <c r="H57" s="32">
        <f t="shared" si="10"/>
        <v>0</v>
      </c>
      <c r="I57" s="132">
        <f t="shared" si="11"/>
        <v>0</v>
      </c>
      <c r="J57" s="12">
        <f t="shared" si="12"/>
        <v>0</v>
      </c>
      <c r="K57" s="13">
        <f t="shared" si="13"/>
        <v>0</v>
      </c>
    </row>
    <row r="58" spans="1:11" s="6" customFormat="1" ht="18.75" customHeight="1" thickBot="1">
      <c r="A58" s="82"/>
      <c r="B58" s="83" t="s">
        <v>22</v>
      </c>
      <c r="C58" s="148">
        <f>C48+C47+C46+C43+C38+C34+C33+C32+C27+C22+C18+C17+C16+C14+C13+C11+C10+C8+C5</f>
        <v>0</v>
      </c>
      <c r="D58" s="215">
        <f t="shared" si="7"/>
        <v>0</v>
      </c>
      <c r="E58" s="33"/>
      <c r="F58" s="145">
        <f>F48+F47+F46+F43+F38+F34+F33+F32+F27+F22+F18+F17+F16+F14+F13+F11+F10+F8+F5</f>
        <v>525</v>
      </c>
      <c r="G58" s="216">
        <f t="shared" si="9"/>
        <v>2.5372982847863597</v>
      </c>
      <c r="H58" s="33"/>
      <c r="I58" s="145">
        <f>I48+I47+I46+I43+I38+I34+I33+I32+I27+I22+I18+I17+I16+I14+I13+I11+I10+I8+I5</f>
        <v>525</v>
      </c>
      <c r="J58" s="216">
        <f t="shared" si="12"/>
        <v>2.1548804964844663</v>
      </c>
      <c r="K58" s="11"/>
    </row>
    <row r="59" spans="1:11" s="6" customFormat="1" ht="22.5" customHeight="1">
      <c r="A59" s="15"/>
      <c r="B59" s="235"/>
      <c r="C59" s="235"/>
      <c r="D59" s="235"/>
      <c r="E59" s="235"/>
      <c r="F59" s="235"/>
      <c r="G59" s="235"/>
      <c r="H59" s="235"/>
      <c r="I59" s="236"/>
      <c r="J59" s="236"/>
      <c r="K59" s="236"/>
    </row>
  </sheetData>
  <sheetProtection/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K59"/>
  <sheetViews>
    <sheetView zoomScale="75" zoomScaleNormal="75" zoomScalePageLayoutView="0" workbookViewId="0" topLeftCell="A1">
      <pane xSplit="1" ySplit="4" topLeftCell="B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I38" sqref="I38"/>
    </sheetView>
  </sheetViews>
  <sheetFormatPr defaultColWidth="9.00390625" defaultRowHeight="12.75"/>
  <cols>
    <col min="1" max="1" width="6.375" style="0" customWidth="1"/>
    <col min="2" max="2" width="50.125" style="10" customWidth="1"/>
    <col min="3" max="3" width="11.125" style="3" customWidth="1"/>
    <col min="4" max="4" width="11.00390625" style="3" customWidth="1"/>
    <col min="5" max="5" width="9.00390625" style="3" customWidth="1"/>
    <col min="6" max="6" width="10.375" style="3" customWidth="1"/>
    <col min="7" max="7" width="9.875" style="3" customWidth="1"/>
    <col min="8" max="8" width="8.125" style="3" customWidth="1"/>
    <col min="9" max="9" width="10.75390625" style="3" customWidth="1"/>
    <col min="10" max="10" width="10.375" style="3" customWidth="1"/>
    <col min="11" max="11" width="8.125" style="3" customWidth="1"/>
  </cols>
  <sheetData>
    <row r="1" spans="1:11" ht="18.75" customHeight="1">
      <c r="A1" s="237" t="s">
        <v>94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20.25" customHeight="1" thickBot="1">
      <c r="A2" s="21"/>
      <c r="B2" s="22"/>
      <c r="C2" s="2"/>
      <c r="D2" s="229">
        <v>36720</v>
      </c>
      <c r="E2" s="23"/>
      <c r="F2" s="23"/>
      <c r="G2" s="229">
        <f>J2-D2</f>
        <v>206913</v>
      </c>
      <c r="H2" s="2"/>
      <c r="I2" s="2"/>
      <c r="J2" s="229">
        <v>243633</v>
      </c>
      <c r="K2" s="2"/>
    </row>
    <row r="3" spans="1:11" ht="12.75">
      <c r="A3" s="239" t="s">
        <v>24</v>
      </c>
      <c r="B3" s="241" t="s">
        <v>5</v>
      </c>
      <c r="C3" s="130" t="s">
        <v>1</v>
      </c>
      <c r="D3" s="129"/>
      <c r="E3" s="129"/>
      <c r="F3" s="130" t="s">
        <v>2</v>
      </c>
      <c r="G3" s="129"/>
      <c r="H3" s="129"/>
      <c r="I3" s="130" t="s">
        <v>3</v>
      </c>
      <c r="J3" s="129"/>
      <c r="K3" s="131"/>
    </row>
    <row r="4" spans="1:11" ht="33.75" customHeight="1" thickBot="1">
      <c r="A4" s="250"/>
      <c r="B4" s="242"/>
      <c r="C4" s="126" t="s">
        <v>6</v>
      </c>
      <c r="D4" s="124" t="s">
        <v>7</v>
      </c>
      <c r="E4" s="125" t="s">
        <v>8</v>
      </c>
      <c r="F4" s="126" t="s">
        <v>6</v>
      </c>
      <c r="G4" s="124" t="s">
        <v>7</v>
      </c>
      <c r="H4" s="125" t="s">
        <v>8</v>
      </c>
      <c r="I4" s="126" t="s">
        <v>6</v>
      </c>
      <c r="J4" s="124" t="s">
        <v>7</v>
      </c>
      <c r="K4" s="127" t="s">
        <v>8</v>
      </c>
    </row>
    <row r="5" spans="1:11" ht="16.5" customHeight="1" thickBot="1">
      <c r="A5" s="90" t="s">
        <v>9</v>
      </c>
      <c r="B5" s="154" t="s">
        <v>26</v>
      </c>
      <c r="C5" s="145"/>
      <c r="D5" s="94">
        <f aca="true" t="shared" si="0" ref="D5:D36">C5*1000/$D$2</f>
        <v>0</v>
      </c>
      <c r="E5" s="95">
        <f aca="true" t="shared" si="1" ref="E5:E36">IF(C$58=0,0,C5*100/C$58)</f>
        <v>0</v>
      </c>
      <c r="F5" s="135"/>
      <c r="G5" s="94">
        <f aca="true" t="shared" si="2" ref="G5:G36">F5*1000/$G$2</f>
        <v>0</v>
      </c>
      <c r="H5" s="95">
        <f aca="true" t="shared" si="3" ref="H5:H36">F5*100/F$58</f>
        <v>0</v>
      </c>
      <c r="I5" s="145">
        <f aca="true" t="shared" si="4" ref="I5:I36">SUM(C5,F5)</f>
        <v>0</v>
      </c>
      <c r="J5" s="94">
        <f aca="true" t="shared" si="5" ref="J5:J36">I5*1000/$J$2</f>
        <v>0</v>
      </c>
      <c r="K5" s="97">
        <f aca="true" t="shared" si="6" ref="K5:K36">I5*100/I$58</f>
        <v>0</v>
      </c>
    </row>
    <row r="6" spans="1:11" s="1" customFormat="1" ht="12.75" customHeight="1">
      <c r="A6" s="4"/>
      <c r="B6" s="40" t="s">
        <v>36</v>
      </c>
      <c r="C6" s="146"/>
      <c r="D6" s="18">
        <f t="shared" si="0"/>
        <v>0</v>
      </c>
      <c r="E6" s="31">
        <f t="shared" si="1"/>
        <v>0</v>
      </c>
      <c r="F6" s="138"/>
      <c r="G6" s="18">
        <f t="shared" si="2"/>
        <v>0</v>
      </c>
      <c r="H6" s="31">
        <f t="shared" si="3"/>
        <v>0</v>
      </c>
      <c r="I6" s="138">
        <f t="shared" si="4"/>
        <v>0</v>
      </c>
      <c r="J6" s="18">
        <f t="shared" si="5"/>
        <v>0</v>
      </c>
      <c r="K6" s="19">
        <f t="shared" si="6"/>
        <v>0</v>
      </c>
    </row>
    <row r="7" spans="1:11" s="1" customFormat="1" ht="14.25" customHeight="1" thickBot="1">
      <c r="A7" s="4"/>
      <c r="B7" s="39" t="s">
        <v>37</v>
      </c>
      <c r="C7" s="147"/>
      <c r="D7" s="12">
        <f t="shared" si="0"/>
        <v>0</v>
      </c>
      <c r="E7" s="32">
        <f t="shared" si="1"/>
        <v>0</v>
      </c>
      <c r="F7" s="133"/>
      <c r="G7" s="14">
        <f t="shared" si="2"/>
        <v>0</v>
      </c>
      <c r="H7" s="35">
        <f t="shared" si="3"/>
        <v>0</v>
      </c>
      <c r="I7" s="140">
        <f t="shared" si="4"/>
        <v>0</v>
      </c>
      <c r="J7" s="14">
        <f t="shared" si="5"/>
        <v>0</v>
      </c>
      <c r="K7" s="13">
        <f t="shared" si="6"/>
        <v>0</v>
      </c>
    </row>
    <row r="8" spans="1:11" ht="13.5" customHeight="1" thickBot="1">
      <c r="A8" s="90" t="s">
        <v>10</v>
      </c>
      <c r="B8" s="100" t="s">
        <v>38</v>
      </c>
      <c r="C8" s="148"/>
      <c r="D8" s="94">
        <f t="shared" si="0"/>
        <v>0</v>
      </c>
      <c r="E8" s="95">
        <f t="shared" si="1"/>
        <v>0</v>
      </c>
      <c r="F8" s="135"/>
      <c r="G8" s="94">
        <f t="shared" si="2"/>
        <v>0</v>
      </c>
      <c r="H8" s="95">
        <f t="shared" si="3"/>
        <v>0</v>
      </c>
      <c r="I8" s="145">
        <f t="shared" si="4"/>
        <v>0</v>
      </c>
      <c r="J8" s="94">
        <f t="shared" si="5"/>
        <v>0</v>
      </c>
      <c r="K8" s="97">
        <f t="shared" si="6"/>
        <v>0</v>
      </c>
    </row>
    <row r="9" spans="1:11" s="1" customFormat="1" ht="15" customHeight="1" thickBot="1">
      <c r="A9" s="16"/>
      <c r="B9" s="40" t="s">
        <v>39</v>
      </c>
      <c r="C9" s="146"/>
      <c r="D9" s="18">
        <f t="shared" si="0"/>
        <v>0</v>
      </c>
      <c r="E9" s="31">
        <f t="shared" si="1"/>
        <v>0</v>
      </c>
      <c r="F9" s="133"/>
      <c r="G9" s="18">
        <f t="shared" si="2"/>
        <v>0</v>
      </c>
      <c r="H9" s="31">
        <f t="shared" si="3"/>
        <v>0</v>
      </c>
      <c r="I9" s="138">
        <f t="shared" si="4"/>
        <v>0</v>
      </c>
      <c r="J9" s="18">
        <f t="shared" si="5"/>
        <v>0</v>
      </c>
      <c r="K9" s="19">
        <f t="shared" si="6"/>
        <v>0</v>
      </c>
    </row>
    <row r="10" spans="1:11" s="6" customFormat="1" ht="15.75" customHeight="1" thickBot="1">
      <c r="A10" s="91" t="s">
        <v>11</v>
      </c>
      <c r="B10" s="92" t="s">
        <v>40</v>
      </c>
      <c r="C10" s="148"/>
      <c r="D10" s="94">
        <f t="shared" si="0"/>
        <v>0</v>
      </c>
      <c r="E10" s="95">
        <f t="shared" si="1"/>
        <v>0</v>
      </c>
      <c r="F10" s="135"/>
      <c r="G10" s="94">
        <f t="shared" si="2"/>
        <v>0</v>
      </c>
      <c r="H10" s="95">
        <f t="shared" si="3"/>
        <v>0</v>
      </c>
      <c r="I10" s="145">
        <f t="shared" si="4"/>
        <v>0</v>
      </c>
      <c r="J10" s="94">
        <f t="shared" si="5"/>
        <v>0</v>
      </c>
      <c r="K10" s="97">
        <f t="shared" si="6"/>
        <v>0</v>
      </c>
    </row>
    <row r="11" spans="1:11" s="6" customFormat="1" ht="30" customHeight="1" thickBot="1">
      <c r="A11" s="98" t="s">
        <v>12</v>
      </c>
      <c r="B11" s="92" t="s">
        <v>41</v>
      </c>
      <c r="C11" s="148"/>
      <c r="D11" s="94">
        <f t="shared" si="0"/>
        <v>0</v>
      </c>
      <c r="E11" s="95">
        <f t="shared" si="1"/>
        <v>0</v>
      </c>
      <c r="F11" s="135"/>
      <c r="G11" s="94">
        <f t="shared" si="2"/>
        <v>0</v>
      </c>
      <c r="H11" s="95">
        <f t="shared" si="3"/>
        <v>0</v>
      </c>
      <c r="I11" s="145">
        <f t="shared" si="4"/>
        <v>0</v>
      </c>
      <c r="J11" s="94">
        <f t="shared" si="5"/>
        <v>0</v>
      </c>
      <c r="K11" s="97">
        <f t="shared" si="6"/>
        <v>0</v>
      </c>
    </row>
    <row r="12" spans="1:11" s="6" customFormat="1" ht="16.5" customHeight="1" thickBot="1">
      <c r="A12" s="17"/>
      <c r="B12" s="41" t="s">
        <v>78</v>
      </c>
      <c r="C12" s="149"/>
      <c r="D12" s="29">
        <f t="shared" si="0"/>
        <v>0</v>
      </c>
      <c r="E12" s="34">
        <f t="shared" si="1"/>
        <v>0</v>
      </c>
      <c r="F12" s="133"/>
      <c r="G12" s="29">
        <f t="shared" si="2"/>
        <v>0</v>
      </c>
      <c r="H12" s="34">
        <f t="shared" si="3"/>
        <v>0</v>
      </c>
      <c r="I12" s="133">
        <f t="shared" si="4"/>
        <v>0</v>
      </c>
      <c r="J12" s="29">
        <f t="shared" si="5"/>
        <v>0</v>
      </c>
      <c r="K12" s="30">
        <f t="shared" si="6"/>
        <v>0</v>
      </c>
    </row>
    <row r="13" spans="1:11" s="6" customFormat="1" ht="15" customHeight="1" thickBot="1">
      <c r="A13" s="99" t="s">
        <v>13</v>
      </c>
      <c r="B13" s="100" t="s">
        <v>42</v>
      </c>
      <c r="C13" s="162">
        <v>1</v>
      </c>
      <c r="D13" s="102">
        <f t="shared" si="0"/>
        <v>0.027233115468409588</v>
      </c>
      <c r="E13" s="103">
        <f t="shared" si="1"/>
        <v>100</v>
      </c>
      <c r="F13" s="135">
        <f>1266+194</f>
        <v>1460</v>
      </c>
      <c r="G13" s="102">
        <f t="shared" si="2"/>
        <v>7.056105706263018</v>
      </c>
      <c r="H13" s="103">
        <f t="shared" si="3"/>
        <v>100</v>
      </c>
      <c r="I13" s="163">
        <f t="shared" si="4"/>
        <v>1461</v>
      </c>
      <c r="J13" s="102">
        <f t="shared" si="5"/>
        <v>5.996724581645344</v>
      </c>
      <c r="K13" s="104">
        <f t="shared" si="6"/>
        <v>100</v>
      </c>
    </row>
    <row r="14" spans="1:11" s="6" customFormat="1" ht="15.75" customHeight="1" thickBot="1">
      <c r="A14" s="98" t="s">
        <v>14</v>
      </c>
      <c r="B14" s="92" t="s">
        <v>43</v>
      </c>
      <c r="C14" s="148"/>
      <c r="D14" s="94">
        <f t="shared" si="0"/>
        <v>0</v>
      </c>
      <c r="E14" s="95">
        <f t="shared" si="1"/>
        <v>0</v>
      </c>
      <c r="F14" s="135"/>
      <c r="G14" s="94">
        <f t="shared" si="2"/>
        <v>0</v>
      </c>
      <c r="H14" s="95">
        <f t="shared" si="3"/>
        <v>0</v>
      </c>
      <c r="I14" s="145">
        <f t="shared" si="4"/>
        <v>0</v>
      </c>
      <c r="J14" s="94">
        <f t="shared" si="5"/>
        <v>0</v>
      </c>
      <c r="K14" s="113">
        <f t="shared" si="6"/>
        <v>0</v>
      </c>
    </row>
    <row r="15" spans="1:11" s="1" customFormat="1" ht="15.75" customHeight="1" thickBot="1">
      <c r="A15" s="4"/>
      <c r="B15" s="42" t="s">
        <v>44</v>
      </c>
      <c r="C15" s="150"/>
      <c r="D15" s="14">
        <f t="shared" si="0"/>
        <v>0</v>
      </c>
      <c r="E15" s="35">
        <f t="shared" si="1"/>
        <v>0</v>
      </c>
      <c r="F15" s="133"/>
      <c r="G15" s="14">
        <f t="shared" si="2"/>
        <v>0</v>
      </c>
      <c r="H15" s="35">
        <f t="shared" si="3"/>
        <v>0</v>
      </c>
      <c r="I15" s="140">
        <f t="shared" si="4"/>
        <v>0</v>
      </c>
      <c r="J15" s="14">
        <f t="shared" si="5"/>
        <v>0</v>
      </c>
      <c r="K15" s="20">
        <f t="shared" si="6"/>
        <v>0</v>
      </c>
    </row>
    <row r="16" spans="1:11" s="1" customFormat="1" ht="16.5" customHeight="1" thickBot="1">
      <c r="A16" s="105" t="s">
        <v>15</v>
      </c>
      <c r="B16" s="100" t="s">
        <v>27</v>
      </c>
      <c r="C16" s="151"/>
      <c r="D16" s="107">
        <f t="shared" si="0"/>
        <v>0</v>
      </c>
      <c r="E16" s="108">
        <f t="shared" si="1"/>
        <v>0</v>
      </c>
      <c r="F16" s="135"/>
      <c r="G16" s="107">
        <f t="shared" si="2"/>
        <v>0</v>
      </c>
      <c r="H16" s="108">
        <f t="shared" si="3"/>
        <v>0</v>
      </c>
      <c r="I16" s="135">
        <f t="shared" si="4"/>
        <v>0</v>
      </c>
      <c r="J16" s="107">
        <f t="shared" si="5"/>
        <v>0</v>
      </c>
      <c r="K16" s="109">
        <f t="shared" si="6"/>
        <v>0</v>
      </c>
    </row>
    <row r="17" spans="1:11" s="6" customFormat="1" ht="18" customHeight="1" thickBot="1">
      <c r="A17" s="110" t="s">
        <v>16</v>
      </c>
      <c r="B17" s="92" t="s">
        <v>45</v>
      </c>
      <c r="C17" s="148"/>
      <c r="D17" s="94">
        <f t="shared" si="0"/>
        <v>0</v>
      </c>
      <c r="E17" s="95">
        <f t="shared" si="1"/>
        <v>0</v>
      </c>
      <c r="F17" s="137"/>
      <c r="G17" s="94">
        <f t="shared" si="2"/>
        <v>0</v>
      </c>
      <c r="H17" s="95">
        <f t="shared" si="3"/>
        <v>0</v>
      </c>
      <c r="I17" s="145">
        <f t="shared" si="4"/>
        <v>0</v>
      </c>
      <c r="J17" s="94">
        <f t="shared" si="5"/>
        <v>0</v>
      </c>
      <c r="K17" s="97">
        <f t="shared" si="6"/>
        <v>0</v>
      </c>
    </row>
    <row r="18" spans="1:11" s="6" customFormat="1" ht="18" customHeight="1" thickBot="1">
      <c r="A18" s="98" t="s">
        <v>17</v>
      </c>
      <c r="B18" s="156" t="s">
        <v>46</v>
      </c>
      <c r="C18" s="148"/>
      <c r="D18" s="94">
        <f t="shared" si="0"/>
        <v>0</v>
      </c>
      <c r="E18" s="95">
        <f t="shared" si="1"/>
        <v>0</v>
      </c>
      <c r="F18" s="135"/>
      <c r="G18" s="94">
        <f t="shared" si="2"/>
        <v>0</v>
      </c>
      <c r="H18" s="95">
        <f t="shared" si="3"/>
        <v>0</v>
      </c>
      <c r="I18" s="145">
        <f t="shared" si="4"/>
        <v>0</v>
      </c>
      <c r="J18" s="94">
        <f t="shared" si="5"/>
        <v>0</v>
      </c>
      <c r="K18" s="97">
        <f t="shared" si="6"/>
        <v>0</v>
      </c>
    </row>
    <row r="19" spans="1:11" s="1" customFormat="1" ht="14.25" customHeight="1">
      <c r="A19" s="4"/>
      <c r="B19" s="38" t="s">
        <v>47</v>
      </c>
      <c r="C19" s="146"/>
      <c r="D19" s="18">
        <f t="shared" si="0"/>
        <v>0</v>
      </c>
      <c r="E19" s="31">
        <f t="shared" si="1"/>
        <v>0</v>
      </c>
      <c r="F19" s="138"/>
      <c r="G19" s="18">
        <f t="shared" si="2"/>
        <v>0</v>
      </c>
      <c r="H19" s="31">
        <f t="shared" si="3"/>
        <v>0</v>
      </c>
      <c r="I19" s="138">
        <f t="shared" si="4"/>
        <v>0</v>
      </c>
      <c r="J19" s="18">
        <f t="shared" si="5"/>
        <v>0</v>
      </c>
      <c r="K19" s="19">
        <f t="shared" si="6"/>
        <v>0</v>
      </c>
    </row>
    <row r="20" spans="1:11" s="1" customFormat="1" ht="15.75" customHeight="1">
      <c r="A20" s="4"/>
      <c r="B20" s="38" t="s">
        <v>48</v>
      </c>
      <c r="C20" s="132"/>
      <c r="D20" s="12">
        <f t="shared" si="0"/>
        <v>0</v>
      </c>
      <c r="E20" s="32">
        <f t="shared" si="1"/>
        <v>0</v>
      </c>
      <c r="F20" s="132"/>
      <c r="G20" s="12">
        <f t="shared" si="2"/>
        <v>0</v>
      </c>
      <c r="H20" s="32">
        <f t="shared" si="3"/>
        <v>0</v>
      </c>
      <c r="I20" s="132">
        <f t="shared" si="4"/>
        <v>0</v>
      </c>
      <c r="J20" s="12">
        <f t="shared" si="5"/>
        <v>0</v>
      </c>
      <c r="K20" s="13">
        <f t="shared" si="6"/>
        <v>0</v>
      </c>
    </row>
    <row r="21" spans="1:11" s="1" customFormat="1" ht="16.5" customHeight="1" thickBot="1">
      <c r="A21" s="4"/>
      <c r="B21" s="38" t="s">
        <v>49</v>
      </c>
      <c r="C21" s="132"/>
      <c r="D21" s="12">
        <f t="shared" si="0"/>
        <v>0</v>
      </c>
      <c r="E21" s="32">
        <f t="shared" si="1"/>
        <v>0</v>
      </c>
      <c r="F21" s="133"/>
      <c r="G21" s="12">
        <f t="shared" si="2"/>
        <v>0</v>
      </c>
      <c r="H21" s="32">
        <f t="shared" si="3"/>
        <v>0</v>
      </c>
      <c r="I21" s="132">
        <f t="shared" si="4"/>
        <v>0</v>
      </c>
      <c r="J21" s="12">
        <f t="shared" si="5"/>
        <v>0</v>
      </c>
      <c r="K21" s="13">
        <f t="shared" si="6"/>
        <v>0</v>
      </c>
    </row>
    <row r="22" spans="1:11" s="6" customFormat="1" ht="15.75" customHeight="1" thickBot="1">
      <c r="A22" s="98" t="s">
        <v>28</v>
      </c>
      <c r="B22" s="92" t="s">
        <v>50</v>
      </c>
      <c r="C22" s="148"/>
      <c r="D22" s="94">
        <f t="shared" si="0"/>
        <v>0</v>
      </c>
      <c r="E22" s="95">
        <f t="shared" si="1"/>
        <v>0</v>
      </c>
      <c r="F22" s="135"/>
      <c r="G22" s="94">
        <f t="shared" si="2"/>
        <v>0</v>
      </c>
      <c r="H22" s="95">
        <f t="shared" si="3"/>
        <v>0</v>
      </c>
      <c r="I22" s="145">
        <f t="shared" si="4"/>
        <v>0</v>
      </c>
      <c r="J22" s="94">
        <f t="shared" si="5"/>
        <v>0</v>
      </c>
      <c r="K22" s="97">
        <f t="shared" si="6"/>
        <v>0</v>
      </c>
    </row>
    <row r="23" spans="1:11" s="1" customFormat="1" ht="15.75" customHeight="1">
      <c r="A23" s="4"/>
      <c r="B23" s="40" t="s">
        <v>51</v>
      </c>
      <c r="C23" s="146"/>
      <c r="D23" s="18">
        <f t="shared" si="0"/>
        <v>0</v>
      </c>
      <c r="E23" s="31">
        <f t="shared" si="1"/>
        <v>0</v>
      </c>
      <c r="F23" s="138"/>
      <c r="G23" s="18">
        <f t="shared" si="2"/>
        <v>0</v>
      </c>
      <c r="H23" s="31">
        <f t="shared" si="3"/>
        <v>0</v>
      </c>
      <c r="I23" s="138">
        <f t="shared" si="4"/>
        <v>0</v>
      </c>
      <c r="J23" s="18">
        <f t="shared" si="5"/>
        <v>0</v>
      </c>
      <c r="K23" s="19">
        <f t="shared" si="6"/>
        <v>0</v>
      </c>
    </row>
    <row r="24" spans="1:11" s="1" customFormat="1" ht="14.25" customHeight="1">
      <c r="A24" s="4"/>
      <c r="B24" s="38" t="s">
        <v>52</v>
      </c>
      <c r="C24" s="147"/>
      <c r="D24" s="12">
        <f t="shared" si="0"/>
        <v>0</v>
      </c>
      <c r="E24" s="32">
        <f t="shared" si="1"/>
        <v>0</v>
      </c>
      <c r="F24" s="132"/>
      <c r="G24" s="12">
        <f t="shared" si="2"/>
        <v>0</v>
      </c>
      <c r="H24" s="32">
        <f t="shared" si="3"/>
        <v>0</v>
      </c>
      <c r="I24" s="132">
        <f t="shared" si="4"/>
        <v>0</v>
      </c>
      <c r="J24" s="12">
        <f t="shared" si="5"/>
        <v>0</v>
      </c>
      <c r="K24" s="13">
        <f t="shared" si="6"/>
        <v>0</v>
      </c>
    </row>
    <row r="25" spans="1:11" s="1" customFormat="1" ht="15.75" customHeight="1">
      <c r="A25" s="4"/>
      <c r="B25" s="38" t="s">
        <v>85</v>
      </c>
      <c r="C25" s="147"/>
      <c r="D25" s="12">
        <f t="shared" si="0"/>
        <v>0</v>
      </c>
      <c r="E25" s="32">
        <f t="shared" si="1"/>
        <v>0</v>
      </c>
      <c r="F25" s="132"/>
      <c r="G25" s="12">
        <f t="shared" si="2"/>
        <v>0</v>
      </c>
      <c r="H25" s="32">
        <f t="shared" si="3"/>
        <v>0</v>
      </c>
      <c r="I25" s="132">
        <f t="shared" si="4"/>
        <v>0</v>
      </c>
      <c r="J25" s="12">
        <f t="shared" si="5"/>
        <v>0</v>
      </c>
      <c r="K25" s="13">
        <f t="shared" si="6"/>
        <v>0</v>
      </c>
    </row>
    <row r="26" spans="1:11" s="1" customFormat="1" ht="13.5" thickBot="1">
      <c r="A26" s="4"/>
      <c r="B26" s="38" t="s">
        <v>86</v>
      </c>
      <c r="C26" s="147"/>
      <c r="D26" s="12">
        <f t="shared" si="0"/>
        <v>0</v>
      </c>
      <c r="E26" s="32">
        <f t="shared" si="1"/>
        <v>0</v>
      </c>
      <c r="F26" s="133"/>
      <c r="G26" s="12">
        <f t="shared" si="2"/>
        <v>0</v>
      </c>
      <c r="H26" s="32">
        <f t="shared" si="3"/>
        <v>0</v>
      </c>
      <c r="I26" s="132">
        <f t="shared" si="4"/>
        <v>0</v>
      </c>
      <c r="J26" s="12">
        <f t="shared" si="5"/>
        <v>0</v>
      </c>
      <c r="K26" s="13">
        <f t="shared" si="6"/>
        <v>0</v>
      </c>
    </row>
    <row r="27" spans="1:11" s="6" customFormat="1" ht="14.25" customHeight="1" thickBot="1">
      <c r="A27" s="98" t="s">
        <v>18</v>
      </c>
      <c r="B27" s="92" t="s">
        <v>53</v>
      </c>
      <c r="C27" s="148"/>
      <c r="D27" s="94">
        <f t="shared" si="0"/>
        <v>0</v>
      </c>
      <c r="E27" s="95">
        <f t="shared" si="1"/>
        <v>0</v>
      </c>
      <c r="F27" s="135"/>
      <c r="G27" s="94">
        <f t="shared" si="2"/>
        <v>0</v>
      </c>
      <c r="H27" s="95">
        <f t="shared" si="3"/>
        <v>0</v>
      </c>
      <c r="I27" s="145">
        <f t="shared" si="4"/>
        <v>0</v>
      </c>
      <c r="J27" s="94">
        <f t="shared" si="5"/>
        <v>0</v>
      </c>
      <c r="K27" s="97">
        <f t="shared" si="6"/>
        <v>0</v>
      </c>
    </row>
    <row r="28" spans="1:11" s="1" customFormat="1" ht="15" customHeight="1">
      <c r="A28" s="4"/>
      <c r="B28" s="40" t="s">
        <v>54</v>
      </c>
      <c r="C28" s="146"/>
      <c r="D28" s="18">
        <f t="shared" si="0"/>
        <v>0</v>
      </c>
      <c r="E28" s="31">
        <f t="shared" si="1"/>
        <v>0</v>
      </c>
      <c r="F28" s="138"/>
      <c r="G28" s="18">
        <f t="shared" si="2"/>
        <v>0</v>
      </c>
      <c r="H28" s="31">
        <f t="shared" si="3"/>
        <v>0</v>
      </c>
      <c r="I28" s="138">
        <f t="shared" si="4"/>
        <v>0</v>
      </c>
      <c r="J28" s="18">
        <f t="shared" si="5"/>
        <v>0</v>
      </c>
      <c r="K28" s="19">
        <f t="shared" si="6"/>
        <v>0</v>
      </c>
    </row>
    <row r="29" spans="1:11" s="1" customFormat="1" ht="15" customHeight="1">
      <c r="A29" s="4"/>
      <c r="B29" s="38" t="s">
        <v>55</v>
      </c>
      <c r="C29" s="147"/>
      <c r="D29" s="12">
        <f t="shared" si="0"/>
        <v>0</v>
      </c>
      <c r="E29" s="32">
        <f t="shared" si="1"/>
        <v>0</v>
      </c>
      <c r="F29" s="132"/>
      <c r="G29" s="12">
        <f t="shared" si="2"/>
        <v>0</v>
      </c>
      <c r="H29" s="32">
        <f t="shared" si="3"/>
        <v>0</v>
      </c>
      <c r="I29" s="132">
        <f t="shared" si="4"/>
        <v>0</v>
      </c>
      <c r="J29" s="12">
        <f t="shared" si="5"/>
        <v>0</v>
      </c>
      <c r="K29" s="13">
        <f t="shared" si="6"/>
        <v>0</v>
      </c>
    </row>
    <row r="30" spans="1:11" s="1" customFormat="1" ht="12.75">
      <c r="A30" s="4"/>
      <c r="B30" s="38" t="s">
        <v>56</v>
      </c>
      <c r="C30" s="147"/>
      <c r="D30" s="12">
        <f t="shared" si="0"/>
        <v>0</v>
      </c>
      <c r="E30" s="32">
        <f t="shared" si="1"/>
        <v>0</v>
      </c>
      <c r="F30" s="139"/>
      <c r="G30" s="12">
        <f t="shared" si="2"/>
        <v>0</v>
      </c>
      <c r="H30" s="32">
        <f t="shared" si="3"/>
        <v>0</v>
      </c>
      <c r="I30" s="132">
        <f t="shared" si="4"/>
        <v>0</v>
      </c>
      <c r="J30" s="12">
        <f t="shared" si="5"/>
        <v>0</v>
      </c>
      <c r="K30" s="13">
        <f t="shared" si="6"/>
        <v>0</v>
      </c>
    </row>
    <row r="31" spans="1:11" s="1" customFormat="1" ht="18" customHeight="1" thickBot="1">
      <c r="A31" s="5"/>
      <c r="B31" s="38" t="s">
        <v>57</v>
      </c>
      <c r="C31" s="147"/>
      <c r="D31" s="12">
        <f t="shared" si="0"/>
        <v>0</v>
      </c>
      <c r="E31" s="32">
        <f t="shared" si="1"/>
        <v>0</v>
      </c>
      <c r="F31" s="136"/>
      <c r="G31" s="12">
        <f t="shared" si="2"/>
        <v>0</v>
      </c>
      <c r="H31" s="32">
        <f t="shared" si="3"/>
        <v>0</v>
      </c>
      <c r="I31" s="132">
        <f t="shared" si="4"/>
        <v>0</v>
      </c>
      <c r="J31" s="12">
        <f t="shared" si="5"/>
        <v>0</v>
      </c>
      <c r="K31" s="13">
        <f t="shared" si="6"/>
        <v>0</v>
      </c>
    </row>
    <row r="32" spans="1:11" s="1" customFormat="1" ht="16.5" customHeight="1" thickBot="1">
      <c r="A32" s="99" t="s">
        <v>75</v>
      </c>
      <c r="B32" s="92" t="s">
        <v>61</v>
      </c>
      <c r="C32" s="148"/>
      <c r="D32" s="94">
        <f t="shared" si="0"/>
        <v>0</v>
      </c>
      <c r="E32" s="95">
        <f t="shared" si="1"/>
        <v>0</v>
      </c>
      <c r="F32" s="135"/>
      <c r="G32" s="94">
        <f t="shared" si="2"/>
        <v>0</v>
      </c>
      <c r="H32" s="95">
        <f t="shared" si="3"/>
        <v>0</v>
      </c>
      <c r="I32" s="145">
        <f t="shared" si="4"/>
        <v>0</v>
      </c>
      <c r="J32" s="94">
        <f t="shared" si="5"/>
        <v>0</v>
      </c>
      <c r="K32" s="97">
        <f t="shared" si="6"/>
        <v>0</v>
      </c>
    </row>
    <row r="33" spans="1:11" s="1" customFormat="1" ht="26.25" thickBot="1">
      <c r="A33" s="99" t="s">
        <v>76</v>
      </c>
      <c r="B33" s="92" t="s">
        <v>62</v>
      </c>
      <c r="C33" s="148"/>
      <c r="D33" s="94">
        <f t="shared" si="0"/>
        <v>0</v>
      </c>
      <c r="E33" s="95">
        <f t="shared" si="1"/>
        <v>0</v>
      </c>
      <c r="F33" s="135"/>
      <c r="G33" s="94">
        <f t="shared" si="2"/>
        <v>0</v>
      </c>
      <c r="H33" s="95">
        <f t="shared" si="3"/>
        <v>0</v>
      </c>
      <c r="I33" s="145">
        <f t="shared" si="4"/>
        <v>0</v>
      </c>
      <c r="J33" s="94">
        <f t="shared" si="5"/>
        <v>0</v>
      </c>
      <c r="K33" s="97">
        <f t="shared" si="6"/>
        <v>0</v>
      </c>
    </row>
    <row r="34" spans="1:11" s="6" customFormat="1" ht="21" customHeight="1" thickBot="1">
      <c r="A34" s="98" t="s">
        <v>19</v>
      </c>
      <c r="B34" s="92" t="s">
        <v>58</v>
      </c>
      <c r="C34" s="148"/>
      <c r="D34" s="94">
        <f t="shared" si="0"/>
        <v>0</v>
      </c>
      <c r="E34" s="95">
        <f t="shared" si="1"/>
        <v>0</v>
      </c>
      <c r="F34" s="135"/>
      <c r="G34" s="94">
        <f t="shared" si="2"/>
        <v>0</v>
      </c>
      <c r="H34" s="95">
        <f t="shared" si="3"/>
        <v>0</v>
      </c>
      <c r="I34" s="145">
        <f t="shared" si="4"/>
        <v>0</v>
      </c>
      <c r="J34" s="94">
        <f t="shared" si="5"/>
        <v>0</v>
      </c>
      <c r="K34" s="97">
        <f t="shared" si="6"/>
        <v>0</v>
      </c>
    </row>
    <row r="35" spans="1:11" s="1" customFormat="1" ht="12.75">
      <c r="A35" s="4"/>
      <c r="B35" s="40" t="s">
        <v>59</v>
      </c>
      <c r="C35" s="146"/>
      <c r="D35" s="25">
        <f t="shared" si="0"/>
        <v>0</v>
      </c>
      <c r="E35" s="36">
        <f t="shared" si="1"/>
        <v>0</v>
      </c>
      <c r="F35" s="138"/>
      <c r="G35" s="25">
        <f t="shared" si="2"/>
        <v>0</v>
      </c>
      <c r="H35" s="36">
        <f t="shared" si="3"/>
        <v>0</v>
      </c>
      <c r="I35" s="138">
        <f t="shared" si="4"/>
        <v>0</v>
      </c>
      <c r="J35" s="25">
        <f t="shared" si="5"/>
        <v>0</v>
      </c>
      <c r="K35" s="26">
        <f t="shared" si="6"/>
        <v>0</v>
      </c>
    </row>
    <row r="36" spans="1:11" s="1" customFormat="1" ht="13.5" customHeight="1">
      <c r="A36" s="4"/>
      <c r="B36" s="43" t="s">
        <v>31</v>
      </c>
      <c r="C36" s="147"/>
      <c r="D36" s="27">
        <f t="shared" si="0"/>
        <v>0</v>
      </c>
      <c r="E36" s="37">
        <f t="shared" si="1"/>
        <v>0</v>
      </c>
      <c r="F36" s="132"/>
      <c r="G36" s="27">
        <f t="shared" si="2"/>
        <v>0</v>
      </c>
      <c r="H36" s="37">
        <f t="shared" si="3"/>
        <v>0</v>
      </c>
      <c r="I36" s="132">
        <f t="shared" si="4"/>
        <v>0</v>
      </c>
      <c r="J36" s="27">
        <f t="shared" si="5"/>
        <v>0</v>
      </c>
      <c r="K36" s="28">
        <f t="shared" si="6"/>
        <v>0</v>
      </c>
    </row>
    <row r="37" spans="1:11" s="1" customFormat="1" ht="12" customHeight="1" thickBot="1">
      <c r="A37" s="16"/>
      <c r="B37" s="38" t="s">
        <v>84</v>
      </c>
      <c r="C37" s="147"/>
      <c r="D37" s="27">
        <f aca="true" t="shared" si="7" ref="D37:D58">C37*1000/$D$2</f>
        <v>0</v>
      </c>
      <c r="E37" s="37">
        <f aca="true" t="shared" si="8" ref="E37:E57">IF(C$58=0,0,C37*100/C$58)</f>
        <v>0</v>
      </c>
      <c r="F37" s="140"/>
      <c r="G37" s="27">
        <f aca="true" t="shared" si="9" ref="G37:G58">F37*1000/$G$2</f>
        <v>0</v>
      </c>
      <c r="H37" s="37">
        <f aca="true" t="shared" si="10" ref="H37:H57">F37*100/F$58</f>
        <v>0</v>
      </c>
      <c r="I37" s="132">
        <f aca="true" t="shared" si="11" ref="I37:I57">SUM(C37,F37)</f>
        <v>0</v>
      </c>
      <c r="J37" s="27">
        <f aca="true" t="shared" si="12" ref="J37:J58">I37*1000/$J$2</f>
        <v>0</v>
      </c>
      <c r="K37" s="28">
        <f aca="true" t="shared" si="13" ref="K37:K57">I37*100/I$58</f>
        <v>0</v>
      </c>
    </row>
    <row r="38" spans="1:11" s="6" customFormat="1" ht="21" customHeight="1" thickBot="1">
      <c r="A38" s="98" t="s">
        <v>20</v>
      </c>
      <c r="B38" s="92" t="s">
        <v>32</v>
      </c>
      <c r="C38" s="148"/>
      <c r="D38" s="94">
        <f t="shared" si="7"/>
        <v>0</v>
      </c>
      <c r="E38" s="95">
        <f t="shared" si="8"/>
        <v>0</v>
      </c>
      <c r="F38" s="135"/>
      <c r="G38" s="94">
        <f t="shared" si="9"/>
        <v>0</v>
      </c>
      <c r="H38" s="95">
        <f t="shared" si="10"/>
        <v>0</v>
      </c>
      <c r="I38" s="145">
        <f t="shared" si="11"/>
        <v>0</v>
      </c>
      <c r="J38" s="94">
        <f t="shared" si="12"/>
        <v>0</v>
      </c>
      <c r="K38" s="113">
        <f t="shared" si="13"/>
        <v>0</v>
      </c>
    </row>
    <row r="39" spans="1:11" s="1" customFormat="1" ht="12.75">
      <c r="A39" s="4"/>
      <c r="B39" s="40" t="s">
        <v>60</v>
      </c>
      <c r="C39" s="146"/>
      <c r="D39" s="18">
        <f t="shared" si="7"/>
        <v>0</v>
      </c>
      <c r="E39" s="31">
        <f t="shared" si="8"/>
        <v>0</v>
      </c>
      <c r="F39" s="138"/>
      <c r="G39" s="18">
        <f t="shared" si="9"/>
        <v>0</v>
      </c>
      <c r="H39" s="31">
        <f t="shared" si="10"/>
        <v>0</v>
      </c>
      <c r="I39" s="138">
        <f t="shared" si="11"/>
        <v>0</v>
      </c>
      <c r="J39" s="18">
        <f t="shared" si="12"/>
        <v>0</v>
      </c>
      <c r="K39" s="19">
        <f t="shared" si="13"/>
        <v>0</v>
      </c>
    </row>
    <row r="40" spans="1:11" s="1" customFormat="1" ht="12.75">
      <c r="A40" s="4"/>
      <c r="B40" s="38" t="s">
        <v>34</v>
      </c>
      <c r="C40" s="147"/>
      <c r="D40" s="12">
        <f t="shared" si="7"/>
        <v>0</v>
      </c>
      <c r="E40" s="32">
        <f t="shared" si="8"/>
        <v>0</v>
      </c>
      <c r="F40" s="132"/>
      <c r="G40" s="12">
        <f t="shared" si="9"/>
        <v>0</v>
      </c>
      <c r="H40" s="32">
        <f t="shared" si="10"/>
        <v>0</v>
      </c>
      <c r="I40" s="132">
        <f t="shared" si="11"/>
        <v>0</v>
      </c>
      <c r="J40" s="12">
        <f t="shared" si="12"/>
        <v>0</v>
      </c>
      <c r="K40" s="13">
        <f t="shared" si="13"/>
        <v>0</v>
      </c>
    </row>
    <row r="41" spans="1:11" s="1" customFormat="1" ht="12.75">
      <c r="A41" s="4"/>
      <c r="B41" s="38" t="s">
        <v>25</v>
      </c>
      <c r="C41" s="147"/>
      <c r="D41" s="12">
        <f t="shared" si="7"/>
        <v>0</v>
      </c>
      <c r="E41" s="32">
        <f t="shared" si="8"/>
        <v>0</v>
      </c>
      <c r="F41" s="132"/>
      <c r="G41" s="12">
        <f t="shared" si="9"/>
        <v>0</v>
      </c>
      <c r="H41" s="32">
        <f t="shared" si="10"/>
        <v>0</v>
      </c>
      <c r="I41" s="132">
        <f t="shared" si="11"/>
        <v>0</v>
      </c>
      <c r="J41" s="12">
        <f t="shared" si="12"/>
        <v>0</v>
      </c>
      <c r="K41" s="13">
        <f t="shared" si="13"/>
        <v>0</v>
      </c>
    </row>
    <row r="42" spans="1:11" s="1" customFormat="1" ht="13.5" thickBot="1">
      <c r="A42" s="5"/>
      <c r="B42" s="38" t="s">
        <v>35</v>
      </c>
      <c r="C42" s="147"/>
      <c r="D42" s="12">
        <f t="shared" si="7"/>
        <v>0</v>
      </c>
      <c r="E42" s="32">
        <f t="shared" si="8"/>
        <v>0</v>
      </c>
      <c r="F42" s="133"/>
      <c r="G42" s="12">
        <f t="shared" si="9"/>
        <v>0</v>
      </c>
      <c r="H42" s="32">
        <f t="shared" si="10"/>
        <v>0</v>
      </c>
      <c r="I42" s="132">
        <f t="shared" si="11"/>
        <v>0</v>
      </c>
      <c r="J42" s="12">
        <f t="shared" si="12"/>
        <v>0</v>
      </c>
      <c r="K42" s="13">
        <f t="shared" si="13"/>
        <v>0</v>
      </c>
    </row>
    <row r="43" spans="1:11" s="6" customFormat="1" ht="23.25" customHeight="1" thickBot="1">
      <c r="A43" s="98" t="s">
        <v>21</v>
      </c>
      <c r="B43" s="92" t="s">
        <v>64</v>
      </c>
      <c r="C43" s="148"/>
      <c r="D43" s="94">
        <f t="shared" si="7"/>
        <v>0</v>
      </c>
      <c r="E43" s="95">
        <f t="shared" si="8"/>
        <v>0</v>
      </c>
      <c r="F43" s="135"/>
      <c r="G43" s="94">
        <f t="shared" si="9"/>
        <v>0</v>
      </c>
      <c r="H43" s="95">
        <f t="shared" si="10"/>
        <v>0</v>
      </c>
      <c r="I43" s="145">
        <f t="shared" si="11"/>
        <v>0</v>
      </c>
      <c r="J43" s="94">
        <f t="shared" si="12"/>
        <v>0</v>
      </c>
      <c r="K43" s="113">
        <f t="shared" si="13"/>
        <v>0</v>
      </c>
    </row>
    <row r="44" spans="1:11" s="1" customFormat="1" ht="33.75" customHeight="1" thickBot="1">
      <c r="A44" s="9"/>
      <c r="B44" s="161" t="s">
        <v>81</v>
      </c>
      <c r="C44" s="146"/>
      <c r="D44" s="18">
        <f t="shared" si="7"/>
        <v>0</v>
      </c>
      <c r="E44" s="31">
        <f t="shared" si="8"/>
        <v>0</v>
      </c>
      <c r="F44" s="143"/>
      <c r="G44" s="18">
        <f t="shared" si="9"/>
        <v>0</v>
      </c>
      <c r="H44" s="31">
        <f t="shared" si="10"/>
        <v>0</v>
      </c>
      <c r="I44" s="138">
        <f t="shared" si="11"/>
        <v>0</v>
      </c>
      <c r="J44" s="18">
        <f t="shared" si="12"/>
        <v>0</v>
      </c>
      <c r="K44" s="19">
        <f t="shared" si="13"/>
        <v>0</v>
      </c>
    </row>
    <row r="45" spans="1:11" s="1" customFormat="1" ht="16.5" customHeight="1" thickBot="1">
      <c r="A45" s="4"/>
      <c r="B45" s="159" t="s">
        <v>79</v>
      </c>
      <c r="C45" s="147"/>
      <c r="D45" s="12">
        <f t="shared" si="7"/>
        <v>0</v>
      </c>
      <c r="E45" s="32">
        <f t="shared" si="8"/>
        <v>0</v>
      </c>
      <c r="F45" s="141"/>
      <c r="G45" s="12">
        <f t="shared" si="9"/>
        <v>0</v>
      </c>
      <c r="H45" s="32">
        <f t="shared" si="10"/>
        <v>0</v>
      </c>
      <c r="I45" s="132">
        <f t="shared" si="11"/>
        <v>0</v>
      </c>
      <c r="J45" s="12">
        <f t="shared" si="12"/>
        <v>0</v>
      </c>
      <c r="K45" s="13">
        <f t="shared" si="13"/>
        <v>0</v>
      </c>
    </row>
    <row r="46" spans="1:11" s="1" customFormat="1" ht="18" customHeight="1" thickBot="1">
      <c r="A46" s="99" t="s">
        <v>77</v>
      </c>
      <c r="B46" s="92" t="s">
        <v>63</v>
      </c>
      <c r="C46" s="148"/>
      <c r="D46" s="94">
        <f t="shared" si="7"/>
        <v>0</v>
      </c>
      <c r="E46" s="95">
        <f t="shared" si="8"/>
        <v>0</v>
      </c>
      <c r="F46" s="135"/>
      <c r="G46" s="94">
        <f t="shared" si="9"/>
        <v>0</v>
      </c>
      <c r="H46" s="95">
        <f t="shared" si="10"/>
        <v>0</v>
      </c>
      <c r="I46" s="145">
        <f t="shared" si="11"/>
        <v>0</v>
      </c>
      <c r="J46" s="94">
        <f t="shared" si="12"/>
        <v>0</v>
      </c>
      <c r="K46" s="97">
        <f t="shared" si="13"/>
        <v>0</v>
      </c>
    </row>
    <row r="47" spans="1:11" s="6" customFormat="1" ht="21" customHeight="1" thickBot="1">
      <c r="A47" s="99" t="s">
        <v>29</v>
      </c>
      <c r="B47" s="92" t="s">
        <v>65</v>
      </c>
      <c r="C47" s="148"/>
      <c r="D47" s="94">
        <f t="shared" si="7"/>
        <v>0</v>
      </c>
      <c r="E47" s="95">
        <f t="shared" si="8"/>
        <v>0</v>
      </c>
      <c r="F47" s="135"/>
      <c r="G47" s="94">
        <f t="shared" si="9"/>
        <v>0</v>
      </c>
      <c r="H47" s="95">
        <f t="shared" si="10"/>
        <v>0</v>
      </c>
      <c r="I47" s="145">
        <f t="shared" si="11"/>
        <v>0</v>
      </c>
      <c r="J47" s="94">
        <f t="shared" si="12"/>
        <v>0</v>
      </c>
      <c r="K47" s="97">
        <f t="shared" si="13"/>
        <v>0</v>
      </c>
    </row>
    <row r="48" spans="1:11" s="6" customFormat="1" ht="19.5" customHeight="1" thickBot="1">
      <c r="A48" s="98" t="s">
        <v>30</v>
      </c>
      <c r="B48" s="92" t="s">
        <v>66</v>
      </c>
      <c r="C48" s="148"/>
      <c r="D48" s="94">
        <f t="shared" si="7"/>
        <v>0</v>
      </c>
      <c r="E48" s="95">
        <f t="shared" si="8"/>
        <v>0</v>
      </c>
      <c r="F48" s="135"/>
      <c r="G48" s="94">
        <f t="shared" si="9"/>
        <v>0</v>
      </c>
      <c r="H48" s="95">
        <f t="shared" si="10"/>
        <v>0</v>
      </c>
      <c r="I48" s="145">
        <f t="shared" si="11"/>
        <v>0</v>
      </c>
      <c r="J48" s="94">
        <f t="shared" si="12"/>
        <v>0</v>
      </c>
      <c r="K48" s="97">
        <f t="shared" si="13"/>
        <v>0</v>
      </c>
    </row>
    <row r="49" spans="1:11" s="1" customFormat="1" ht="17.25" customHeight="1">
      <c r="A49" s="4"/>
      <c r="B49" s="40" t="s">
        <v>67</v>
      </c>
      <c r="C49" s="146"/>
      <c r="D49" s="18">
        <f t="shared" si="7"/>
        <v>0</v>
      </c>
      <c r="E49" s="31">
        <f t="shared" si="8"/>
        <v>0</v>
      </c>
      <c r="F49" s="138"/>
      <c r="G49" s="18">
        <f t="shared" si="9"/>
        <v>0</v>
      </c>
      <c r="H49" s="31">
        <f t="shared" si="10"/>
        <v>0</v>
      </c>
      <c r="I49" s="138">
        <f t="shared" si="11"/>
        <v>0</v>
      </c>
      <c r="J49" s="18">
        <f t="shared" si="12"/>
        <v>0</v>
      </c>
      <c r="K49" s="19">
        <f t="shared" si="13"/>
        <v>0</v>
      </c>
    </row>
    <row r="50" spans="1:11" s="1" customFormat="1" ht="12.75">
      <c r="A50" s="4"/>
      <c r="B50" s="38" t="s">
        <v>71</v>
      </c>
      <c r="C50" s="147"/>
      <c r="D50" s="12">
        <f t="shared" si="7"/>
        <v>0</v>
      </c>
      <c r="E50" s="32">
        <f t="shared" si="8"/>
        <v>0</v>
      </c>
      <c r="F50" s="132"/>
      <c r="G50" s="12">
        <f t="shared" si="9"/>
        <v>0</v>
      </c>
      <c r="H50" s="32">
        <f t="shared" si="10"/>
        <v>0</v>
      </c>
      <c r="I50" s="132">
        <f t="shared" si="11"/>
        <v>0</v>
      </c>
      <c r="J50" s="12">
        <f t="shared" si="12"/>
        <v>0</v>
      </c>
      <c r="K50" s="13">
        <f t="shared" si="13"/>
        <v>0</v>
      </c>
    </row>
    <row r="51" spans="1:11" s="1" customFormat="1" ht="15.75" customHeight="1">
      <c r="A51" s="4"/>
      <c r="B51" s="38" t="s">
        <v>68</v>
      </c>
      <c r="C51" s="147"/>
      <c r="D51" s="12">
        <f t="shared" si="7"/>
        <v>0</v>
      </c>
      <c r="E51" s="32">
        <f t="shared" si="8"/>
        <v>0</v>
      </c>
      <c r="F51" s="132"/>
      <c r="G51" s="12">
        <f t="shared" si="9"/>
        <v>0</v>
      </c>
      <c r="H51" s="32">
        <f t="shared" si="10"/>
        <v>0</v>
      </c>
      <c r="I51" s="132">
        <f t="shared" si="11"/>
        <v>0</v>
      </c>
      <c r="J51" s="12">
        <f t="shared" si="12"/>
        <v>0</v>
      </c>
      <c r="K51" s="13">
        <f t="shared" si="13"/>
        <v>0</v>
      </c>
    </row>
    <row r="52" spans="1:11" s="1" customFormat="1" ht="12.75">
      <c r="A52" s="4"/>
      <c r="B52" s="38" t="s">
        <v>72</v>
      </c>
      <c r="C52" s="147"/>
      <c r="D52" s="12">
        <f t="shared" si="7"/>
        <v>0</v>
      </c>
      <c r="E52" s="32">
        <f t="shared" si="8"/>
        <v>0</v>
      </c>
      <c r="F52" s="132"/>
      <c r="G52" s="12">
        <f t="shared" si="9"/>
        <v>0</v>
      </c>
      <c r="H52" s="32">
        <f t="shared" si="10"/>
        <v>0</v>
      </c>
      <c r="I52" s="132">
        <f t="shared" si="11"/>
        <v>0</v>
      </c>
      <c r="J52" s="12">
        <f t="shared" si="12"/>
        <v>0</v>
      </c>
      <c r="K52" s="13">
        <f t="shared" si="13"/>
        <v>0</v>
      </c>
    </row>
    <row r="53" spans="1:11" s="1" customFormat="1" ht="16.5" customHeight="1">
      <c r="A53" s="4"/>
      <c r="B53" s="38" t="s">
        <v>69</v>
      </c>
      <c r="C53" s="147"/>
      <c r="D53" s="12">
        <f t="shared" si="7"/>
        <v>0</v>
      </c>
      <c r="E53" s="32">
        <f t="shared" si="8"/>
        <v>0</v>
      </c>
      <c r="F53" s="132"/>
      <c r="G53" s="12">
        <f t="shared" si="9"/>
        <v>0</v>
      </c>
      <c r="H53" s="32">
        <f t="shared" si="10"/>
        <v>0</v>
      </c>
      <c r="I53" s="132">
        <f t="shared" si="11"/>
        <v>0</v>
      </c>
      <c r="J53" s="12">
        <f t="shared" si="12"/>
        <v>0</v>
      </c>
      <c r="K53" s="13">
        <f t="shared" si="13"/>
        <v>0</v>
      </c>
    </row>
    <row r="54" spans="1:11" s="1" customFormat="1" ht="12" customHeight="1">
      <c r="A54" s="4"/>
      <c r="B54" s="38" t="s">
        <v>73</v>
      </c>
      <c r="C54" s="147"/>
      <c r="D54" s="12">
        <f t="shared" si="7"/>
        <v>0</v>
      </c>
      <c r="E54" s="32">
        <f t="shared" si="8"/>
        <v>0</v>
      </c>
      <c r="F54" s="132"/>
      <c r="G54" s="12">
        <f t="shared" si="9"/>
        <v>0</v>
      </c>
      <c r="H54" s="32">
        <f t="shared" si="10"/>
        <v>0</v>
      </c>
      <c r="I54" s="132">
        <f t="shared" si="11"/>
        <v>0</v>
      </c>
      <c r="J54" s="12">
        <f t="shared" si="12"/>
        <v>0</v>
      </c>
      <c r="K54" s="13">
        <f t="shared" si="13"/>
        <v>0</v>
      </c>
    </row>
    <row r="55" spans="1:11" s="1" customFormat="1" ht="16.5" customHeight="1">
      <c r="A55" s="4"/>
      <c r="B55" s="38" t="s">
        <v>70</v>
      </c>
      <c r="C55" s="147"/>
      <c r="D55" s="12">
        <f t="shared" si="7"/>
        <v>0</v>
      </c>
      <c r="E55" s="32">
        <f t="shared" si="8"/>
        <v>0</v>
      </c>
      <c r="F55" s="132"/>
      <c r="G55" s="12">
        <f t="shared" si="9"/>
        <v>0</v>
      </c>
      <c r="H55" s="32">
        <f t="shared" si="10"/>
        <v>0</v>
      </c>
      <c r="I55" s="132">
        <f t="shared" si="11"/>
        <v>0</v>
      </c>
      <c r="J55" s="12">
        <f t="shared" si="12"/>
        <v>0</v>
      </c>
      <c r="K55" s="13">
        <f t="shared" si="13"/>
        <v>0</v>
      </c>
    </row>
    <row r="56" spans="1:11" s="1" customFormat="1" ht="12.75">
      <c r="A56" s="4"/>
      <c r="B56" s="38" t="s">
        <v>74</v>
      </c>
      <c r="C56" s="147"/>
      <c r="D56" s="12">
        <f t="shared" si="7"/>
        <v>0</v>
      </c>
      <c r="E56" s="32">
        <f t="shared" si="8"/>
        <v>0</v>
      </c>
      <c r="F56" s="132"/>
      <c r="G56" s="12">
        <f t="shared" si="9"/>
        <v>0</v>
      </c>
      <c r="H56" s="32">
        <f t="shared" si="10"/>
        <v>0</v>
      </c>
      <c r="I56" s="132">
        <f t="shared" si="11"/>
        <v>0</v>
      </c>
      <c r="J56" s="12">
        <f t="shared" si="12"/>
        <v>0</v>
      </c>
      <c r="K56" s="13">
        <f t="shared" si="13"/>
        <v>0</v>
      </c>
    </row>
    <row r="57" spans="1:11" s="1" customFormat="1" ht="13.5" thickBot="1">
      <c r="A57" s="4"/>
      <c r="B57" s="38" t="s">
        <v>33</v>
      </c>
      <c r="C57" s="152"/>
      <c r="D57" s="12">
        <f t="shared" si="7"/>
        <v>0</v>
      </c>
      <c r="E57" s="32">
        <f t="shared" si="8"/>
        <v>0</v>
      </c>
      <c r="F57" s="139"/>
      <c r="G57" s="12">
        <f t="shared" si="9"/>
        <v>0</v>
      </c>
      <c r="H57" s="32">
        <f t="shared" si="10"/>
        <v>0</v>
      </c>
      <c r="I57" s="132">
        <f t="shared" si="11"/>
        <v>0</v>
      </c>
      <c r="J57" s="12">
        <f t="shared" si="12"/>
        <v>0</v>
      </c>
      <c r="K57" s="13">
        <f t="shared" si="13"/>
        <v>0</v>
      </c>
    </row>
    <row r="58" spans="1:11" s="6" customFormat="1" ht="18.75" customHeight="1" thickBot="1">
      <c r="A58" s="82"/>
      <c r="B58" s="83" t="s">
        <v>22</v>
      </c>
      <c r="C58" s="148">
        <f>C48+C47+C46+C43+C38+C34+C33+C32+C27+C22+C18+C17+C16+C14+C13+C11+C10+C8+C5</f>
        <v>1</v>
      </c>
      <c r="D58" s="215">
        <f t="shared" si="7"/>
        <v>0.027233115468409588</v>
      </c>
      <c r="E58" s="33"/>
      <c r="F58" s="145">
        <f>F48+F47+F46+F43+F38+F34+F33+F32+F27+F22+F18+F17+F16+F14+F13+F11+F10+F8+F5</f>
        <v>1460</v>
      </c>
      <c r="G58" s="216">
        <f t="shared" si="9"/>
        <v>7.056105706263018</v>
      </c>
      <c r="H58" s="33"/>
      <c r="I58" s="145">
        <f>I48+I47+I46+I43+I38+I34+I33+I32+I27+I22+I18+I17+I16+I14+I13+I11+I10+I8+I5</f>
        <v>1461</v>
      </c>
      <c r="J58" s="216">
        <f t="shared" si="12"/>
        <v>5.996724581645344</v>
      </c>
      <c r="K58" s="11"/>
    </row>
    <row r="59" spans="1:11" s="6" customFormat="1" ht="22.5" customHeight="1">
      <c r="A59" s="15"/>
      <c r="B59" s="235"/>
      <c r="C59" s="235"/>
      <c r="D59" s="235"/>
      <c r="E59" s="235"/>
      <c r="F59" s="235"/>
      <c r="G59" s="235"/>
      <c r="H59" s="235"/>
      <c r="I59" s="236"/>
      <c r="J59" s="236"/>
      <c r="K59" s="236"/>
    </row>
  </sheetData>
  <sheetProtection/>
  <mergeCells count="5">
    <mergeCell ref="B59:H59"/>
    <mergeCell ref="I59:K59"/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ЦАНКО</dc:creator>
  <cp:keywords/>
  <dc:description/>
  <cp:lastModifiedBy>Потребител на Windows</cp:lastModifiedBy>
  <cp:lastPrinted>2017-05-23T06:15:22Z</cp:lastPrinted>
  <dcterms:created xsi:type="dcterms:W3CDTF">2006-05-10T07:34:59Z</dcterms:created>
  <dcterms:modified xsi:type="dcterms:W3CDTF">2017-06-28T06:06:24Z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